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cro\Desktop\"/>
    </mc:Choice>
  </mc:AlternateContent>
  <xr:revisionPtr revIDLastSave="0" documentId="13_ncr:1_{676F7D45-9763-4D58-8013-A6E71D7317C8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GF" sheetId="1" r:id="rId1"/>
    <sheet name="Sup. sheets" sheetId="2" r:id="rId2"/>
    <sheet name="Acct. Detail--Rev." sheetId="3" r:id="rId3"/>
    <sheet name="Acct. Detail--Exp." sheetId="4" r:id="rId4"/>
    <sheet name="Parks" sheetId="5" r:id="rId5"/>
    <sheet name="Kingsley" sheetId="6" r:id="rId6"/>
    <sheet name="Publication" sheetId="7" r:id="rId7"/>
    <sheet name="Personnel" sheetId="8" r:id="rId8"/>
    <sheet name="Fund Balances" sheetId="9" r:id="rId9"/>
    <sheet name="Levys" sheetId="10" r:id="rId10"/>
    <sheet name="Ins. Co. copy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7" l="1"/>
  <c r="J160" i="11" l="1"/>
  <c r="L160" i="11" l="1"/>
  <c r="K160" i="11"/>
  <c r="J156" i="11"/>
  <c r="L155" i="11"/>
  <c r="I155" i="11"/>
  <c r="L151" i="11"/>
  <c r="K151" i="11"/>
  <c r="K162" i="11" s="1"/>
  <c r="J151" i="11"/>
  <c r="I151" i="11"/>
  <c r="H151" i="11"/>
  <c r="G151" i="11"/>
  <c r="J147" i="11"/>
  <c r="L146" i="11"/>
  <c r="I146" i="11"/>
  <c r="K143" i="11"/>
  <c r="J143" i="11"/>
  <c r="J162" i="11" s="1"/>
  <c r="I143" i="11"/>
  <c r="H143" i="11"/>
  <c r="G143" i="11"/>
  <c r="L143" i="11"/>
  <c r="J136" i="11"/>
  <c r="L135" i="11"/>
  <c r="I135" i="11"/>
  <c r="L132" i="11"/>
  <c r="K132" i="11"/>
  <c r="J132" i="11"/>
  <c r="I132" i="11"/>
  <c r="H132" i="11"/>
  <c r="G132" i="11"/>
  <c r="J127" i="11"/>
  <c r="L126" i="11"/>
  <c r="I126" i="11"/>
  <c r="K123" i="11"/>
  <c r="J123" i="11"/>
  <c r="H123" i="11"/>
  <c r="G123" i="11"/>
  <c r="I123" i="11"/>
  <c r="J99" i="11"/>
  <c r="L98" i="11"/>
  <c r="I98" i="11"/>
  <c r="L95" i="11"/>
  <c r="K95" i="11"/>
  <c r="J95" i="11"/>
  <c r="I95" i="11"/>
  <c r="H95" i="11"/>
  <c r="G95" i="11"/>
  <c r="J91" i="11"/>
  <c r="L90" i="11"/>
  <c r="I90" i="11"/>
  <c r="K88" i="11"/>
  <c r="J88" i="11"/>
  <c r="H88" i="11"/>
  <c r="G65" i="11"/>
  <c r="G64" i="11"/>
  <c r="J57" i="11"/>
  <c r="L56" i="11"/>
  <c r="I56" i="11"/>
  <c r="L53" i="11"/>
  <c r="K53" i="11"/>
  <c r="J53" i="11"/>
  <c r="I53" i="11"/>
  <c r="H53" i="11"/>
  <c r="G53" i="11"/>
  <c r="J49" i="11"/>
  <c r="L48" i="11"/>
  <c r="I48" i="11"/>
  <c r="L45" i="11"/>
  <c r="K45" i="11"/>
  <c r="J45" i="11"/>
  <c r="I45" i="11"/>
  <c r="H45" i="11"/>
  <c r="G45" i="11"/>
  <c r="J39" i="11"/>
  <c r="L38" i="11"/>
  <c r="I38" i="11"/>
  <c r="L36" i="11"/>
  <c r="K36" i="11"/>
  <c r="J36" i="11"/>
  <c r="I36" i="11"/>
  <c r="H36" i="11"/>
  <c r="G36" i="11"/>
  <c r="J27" i="11"/>
  <c r="L26" i="11"/>
  <c r="I26" i="11"/>
  <c r="L24" i="11"/>
  <c r="K24" i="11"/>
  <c r="J24" i="11"/>
  <c r="I24" i="11"/>
  <c r="H24" i="11"/>
  <c r="G24" i="11"/>
  <c r="J12" i="11"/>
  <c r="L11" i="11"/>
  <c r="I11" i="11"/>
  <c r="L8" i="11"/>
  <c r="K8" i="11"/>
  <c r="J8" i="11"/>
  <c r="I8" i="11"/>
  <c r="H8" i="11"/>
  <c r="G8" i="11"/>
  <c r="M162" i="11" l="1"/>
  <c r="G88" i="11"/>
  <c r="L123" i="11"/>
  <c r="I88" i="11"/>
  <c r="L88" i="11"/>
  <c r="Q79" i="1"/>
  <c r="O206" i="1" l="1"/>
  <c r="O189" i="1"/>
  <c r="O179" i="1"/>
  <c r="O164" i="1"/>
  <c r="O155" i="1"/>
  <c r="O130" i="1"/>
  <c r="O119" i="1"/>
  <c r="O84" i="1"/>
  <c r="O76" i="1"/>
  <c r="O48" i="1"/>
  <c r="O38" i="1"/>
  <c r="O27" i="1"/>
  <c r="O12" i="1"/>
  <c r="E7" i="7" l="1"/>
  <c r="E8" i="7"/>
  <c r="H6" i="10"/>
  <c r="G6" i="10"/>
  <c r="F6" i="10"/>
  <c r="E6" i="10"/>
  <c r="C6" i="10"/>
  <c r="B6" i="10"/>
  <c r="K14" i="9"/>
  <c r="J14" i="9"/>
  <c r="I14" i="9"/>
  <c r="H14" i="9"/>
  <c r="G14" i="9"/>
  <c r="F14" i="9"/>
  <c r="E14" i="9"/>
  <c r="D14" i="9"/>
  <c r="E78" i="8"/>
  <c r="C78" i="8"/>
  <c r="B78" i="8"/>
  <c r="F69" i="8"/>
  <c r="E69" i="8"/>
  <c r="C69" i="8"/>
  <c r="B69" i="8"/>
  <c r="G68" i="8"/>
  <c r="G67" i="8"/>
  <c r="G61" i="8"/>
  <c r="G63" i="8" s="1"/>
  <c r="F61" i="8"/>
  <c r="F63" i="8" s="1"/>
  <c r="E61" i="8"/>
  <c r="E63" i="8" s="1"/>
  <c r="C61" i="8"/>
  <c r="C63" i="8" s="1"/>
  <c r="B61" i="8"/>
  <c r="B63" i="8" s="1"/>
  <c r="E42" i="8"/>
  <c r="F42" i="8" s="1"/>
  <c r="E41" i="8"/>
  <c r="F41" i="8" s="1"/>
  <c r="G40" i="8"/>
  <c r="F40" i="8"/>
  <c r="E33" i="8"/>
  <c r="F33" i="8" s="1"/>
  <c r="D33" i="8"/>
  <c r="E32" i="8"/>
  <c r="F32" i="8" s="1"/>
  <c r="D32" i="8"/>
  <c r="E31" i="8"/>
  <c r="G31" i="8" s="1"/>
  <c r="D31" i="8"/>
  <c r="J26" i="8"/>
  <c r="L26" i="8" s="1"/>
  <c r="I26" i="8"/>
  <c r="E26" i="8"/>
  <c r="G26" i="8" s="1"/>
  <c r="D26" i="8"/>
  <c r="J25" i="8"/>
  <c r="K25" i="8" s="1"/>
  <c r="I25" i="8"/>
  <c r="E25" i="8"/>
  <c r="G25" i="8" s="1"/>
  <c r="D25" i="8"/>
  <c r="J24" i="8"/>
  <c r="L24" i="8" s="1"/>
  <c r="I24" i="8"/>
  <c r="E24" i="8"/>
  <c r="G24" i="8" s="1"/>
  <c r="D24" i="8"/>
  <c r="J19" i="8"/>
  <c r="K19" i="8" s="1"/>
  <c r="I19" i="8"/>
  <c r="E19" i="8"/>
  <c r="G19" i="8" s="1"/>
  <c r="D19" i="8"/>
  <c r="J18" i="8"/>
  <c r="I18" i="8"/>
  <c r="E18" i="8"/>
  <c r="F18" i="8" s="1"/>
  <c r="D18" i="8"/>
  <c r="J17" i="8"/>
  <c r="K17" i="8" s="1"/>
  <c r="I17" i="8"/>
  <c r="E17" i="8"/>
  <c r="G17" i="8" s="1"/>
  <c r="D17" i="8"/>
  <c r="J12" i="8"/>
  <c r="I12" i="8"/>
  <c r="E12" i="8"/>
  <c r="F12" i="8" s="1"/>
  <c r="D12" i="8"/>
  <c r="J11" i="8"/>
  <c r="K11" i="8" s="1"/>
  <c r="I11" i="8"/>
  <c r="E11" i="8"/>
  <c r="G11" i="8" s="1"/>
  <c r="D11" i="8"/>
  <c r="J10" i="8"/>
  <c r="I10" i="8"/>
  <c r="E10" i="8"/>
  <c r="F10" i="8" s="1"/>
  <c r="D10" i="8"/>
  <c r="M23" i="6"/>
  <c r="K23" i="6"/>
  <c r="M17" i="6"/>
  <c r="K17" i="6"/>
  <c r="M12" i="6"/>
  <c r="N70" i="5"/>
  <c r="M70" i="5"/>
  <c r="K70" i="5"/>
  <c r="N61" i="5"/>
  <c r="M61" i="5"/>
  <c r="K61" i="5"/>
  <c r="N51" i="5"/>
  <c r="M51" i="5"/>
  <c r="K51" i="5"/>
  <c r="K55" i="5" s="1"/>
  <c r="N47" i="5"/>
  <c r="M47" i="5"/>
  <c r="K47" i="5"/>
  <c r="F27" i="5"/>
  <c r="E27" i="5"/>
  <c r="D27" i="5"/>
  <c r="F23" i="5"/>
  <c r="E23" i="5"/>
  <c r="D23" i="5"/>
  <c r="E17" i="5"/>
  <c r="D17" i="5"/>
  <c r="F12" i="5"/>
  <c r="E12" i="5"/>
  <c r="D12" i="5"/>
  <c r="C25" i="4"/>
  <c r="D109" i="2"/>
  <c r="E108" i="2"/>
  <c r="E107" i="2"/>
  <c r="E106" i="2"/>
  <c r="E105" i="2"/>
  <c r="E91" i="2"/>
  <c r="D91" i="2"/>
  <c r="F90" i="2"/>
  <c r="F85" i="2"/>
  <c r="G84" i="2"/>
  <c r="F83" i="2"/>
  <c r="F82" i="2"/>
  <c r="G81" i="2"/>
  <c r="G80" i="2"/>
  <c r="G78" i="2"/>
  <c r="E75" i="2"/>
  <c r="G74" i="2"/>
  <c r="G75" i="2" s="1"/>
  <c r="F74" i="2"/>
  <c r="F75" i="2" s="1"/>
  <c r="F59" i="2"/>
  <c r="E59" i="2"/>
  <c r="D59" i="2"/>
  <c r="G57" i="2"/>
  <c r="G55" i="2"/>
  <c r="G54" i="2"/>
  <c r="E51" i="2"/>
  <c r="D51" i="2"/>
  <c r="F50" i="2"/>
  <c r="G48" i="2"/>
  <c r="G44" i="2"/>
  <c r="F44" i="2"/>
  <c r="G42" i="2"/>
  <c r="G41" i="2"/>
  <c r="G40" i="2"/>
  <c r="G39" i="2"/>
  <c r="F39" i="2"/>
  <c r="F38" i="2"/>
  <c r="F37" i="2"/>
  <c r="G36" i="2"/>
  <c r="G35" i="2"/>
  <c r="F35" i="2"/>
  <c r="G33" i="2"/>
  <c r="F33" i="2"/>
  <c r="D27" i="2"/>
  <c r="E24" i="2"/>
  <c r="D24" i="2"/>
  <c r="G15" i="2"/>
  <c r="G24" i="2" s="1"/>
  <c r="F15" i="2"/>
  <c r="F24" i="2" s="1"/>
  <c r="I213" i="1"/>
  <c r="H213" i="1"/>
  <c r="Q209" i="1"/>
  <c r="P209" i="1"/>
  <c r="M209" i="1"/>
  <c r="M206" i="1"/>
  <c r="Q205" i="1"/>
  <c r="N205" i="1"/>
  <c r="Q202" i="1"/>
  <c r="P202" i="1"/>
  <c r="O202" i="1"/>
  <c r="N202" i="1"/>
  <c r="M202" i="1"/>
  <c r="L202" i="1"/>
  <c r="K202" i="1"/>
  <c r="J202" i="1"/>
  <c r="I202" i="1"/>
  <c r="H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M189" i="1"/>
  <c r="Q188" i="1"/>
  <c r="N188" i="1"/>
  <c r="Q185" i="1"/>
  <c r="P185" i="1"/>
  <c r="O185" i="1"/>
  <c r="N185" i="1"/>
  <c r="M185" i="1"/>
  <c r="L185" i="1"/>
  <c r="K185" i="1"/>
  <c r="J185" i="1"/>
  <c r="I185" i="1"/>
  <c r="H185" i="1"/>
  <c r="R183" i="1"/>
  <c r="R182" i="1"/>
  <c r="R184" i="1"/>
  <c r="R181" i="1"/>
  <c r="R180" i="1"/>
  <c r="M179" i="1"/>
  <c r="Q178" i="1"/>
  <c r="N178" i="1"/>
  <c r="P175" i="1"/>
  <c r="O175" i="1"/>
  <c r="N175" i="1"/>
  <c r="M175" i="1"/>
  <c r="L175" i="1"/>
  <c r="K175" i="1"/>
  <c r="J175" i="1"/>
  <c r="I175" i="1"/>
  <c r="H175" i="1"/>
  <c r="R174" i="1"/>
  <c r="R173" i="1"/>
  <c r="R172" i="1"/>
  <c r="R171" i="1"/>
  <c r="R170" i="1"/>
  <c r="R169" i="1"/>
  <c r="R168" i="1"/>
  <c r="R167" i="1"/>
  <c r="R166" i="1"/>
  <c r="Q166" i="1"/>
  <c r="Q175" i="1" s="1"/>
  <c r="R165" i="1"/>
  <c r="M164" i="1"/>
  <c r="Q163" i="1"/>
  <c r="N163" i="1"/>
  <c r="R160" i="1"/>
  <c r="Q160" i="1"/>
  <c r="P160" i="1"/>
  <c r="O160" i="1"/>
  <c r="N160" i="1"/>
  <c r="M160" i="1"/>
  <c r="L160" i="1"/>
  <c r="K160" i="1"/>
  <c r="J160" i="1"/>
  <c r="I160" i="1"/>
  <c r="H160" i="1"/>
  <c r="R159" i="1"/>
  <c r="R158" i="1"/>
  <c r="R157" i="1"/>
  <c r="R156" i="1"/>
  <c r="M155" i="1"/>
  <c r="Q154" i="1"/>
  <c r="N154" i="1"/>
  <c r="P151" i="1"/>
  <c r="O151" i="1"/>
  <c r="M151" i="1"/>
  <c r="L151" i="1"/>
  <c r="K151" i="1"/>
  <c r="J151" i="1"/>
  <c r="I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Q134" i="1"/>
  <c r="H134" i="1"/>
  <c r="H151" i="1" s="1"/>
  <c r="R133" i="1"/>
  <c r="Q133" i="1"/>
  <c r="N133" i="1"/>
  <c r="N151" i="1" s="1"/>
  <c r="R132" i="1"/>
  <c r="R131" i="1"/>
  <c r="M130" i="1"/>
  <c r="Q129" i="1"/>
  <c r="N129" i="1"/>
  <c r="Q126" i="1"/>
  <c r="E18" i="7" s="1"/>
  <c r="P126" i="1"/>
  <c r="O126" i="1"/>
  <c r="N126" i="1"/>
  <c r="M126" i="1"/>
  <c r="L126" i="1"/>
  <c r="K126" i="1"/>
  <c r="J126" i="1"/>
  <c r="I126" i="1"/>
  <c r="H126" i="1"/>
  <c r="R125" i="1"/>
  <c r="R124" i="1"/>
  <c r="R123" i="1"/>
  <c r="R122" i="1"/>
  <c r="R121" i="1"/>
  <c r="R120" i="1"/>
  <c r="M119" i="1"/>
  <c r="Q118" i="1"/>
  <c r="N118" i="1"/>
  <c r="P116" i="1"/>
  <c r="O116" i="1"/>
  <c r="M116" i="1"/>
  <c r="K116" i="1"/>
  <c r="J116" i="1"/>
  <c r="I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Q99" i="1"/>
  <c r="N99" i="1"/>
  <c r="L99" i="1"/>
  <c r="H99" i="1"/>
  <c r="R98" i="1"/>
  <c r="Q98" i="1"/>
  <c r="N98" i="1"/>
  <c r="L98" i="1"/>
  <c r="H98" i="1"/>
  <c r="R97" i="1"/>
  <c r="R96" i="1"/>
  <c r="R95" i="1"/>
  <c r="R94" i="1"/>
  <c r="R93" i="1"/>
  <c r="Q93" i="1"/>
  <c r="N93" i="1"/>
  <c r="L93" i="1"/>
  <c r="H93" i="1"/>
  <c r="R92" i="1"/>
  <c r="Q92" i="1"/>
  <c r="N92" i="1"/>
  <c r="L92" i="1"/>
  <c r="H92" i="1"/>
  <c r="R91" i="1"/>
  <c r="R90" i="1"/>
  <c r="R88" i="1"/>
  <c r="R87" i="1"/>
  <c r="R86" i="1"/>
  <c r="Q86" i="1"/>
  <c r="N86" i="1"/>
  <c r="R85" i="1"/>
  <c r="M84" i="1"/>
  <c r="Q83" i="1"/>
  <c r="N83" i="1"/>
  <c r="I81" i="1"/>
  <c r="H81" i="1"/>
  <c r="P79" i="1"/>
  <c r="O79" i="1"/>
  <c r="N79" i="1"/>
  <c r="M79" i="1"/>
  <c r="L79" i="1"/>
  <c r="K79" i="1"/>
  <c r="J79" i="1"/>
  <c r="I79" i="1"/>
  <c r="R78" i="1"/>
  <c r="R77" i="1"/>
  <c r="M76" i="1"/>
  <c r="Q75" i="1"/>
  <c r="N75" i="1"/>
  <c r="P71" i="1"/>
  <c r="M71" i="1"/>
  <c r="J71" i="1"/>
  <c r="I71" i="1"/>
  <c r="H71" i="1"/>
  <c r="Q64" i="1"/>
  <c r="P64" i="1"/>
  <c r="O64" i="1"/>
  <c r="N64" i="1"/>
  <c r="M64" i="1"/>
  <c r="L64" i="1"/>
  <c r="K64" i="1"/>
  <c r="J64" i="1"/>
  <c r="I64" i="1"/>
  <c r="H64" i="1"/>
  <c r="R63" i="1"/>
  <c r="R61" i="1"/>
  <c r="R60" i="1"/>
  <c r="R62" i="1"/>
  <c r="R59" i="1"/>
  <c r="R58" i="1"/>
  <c r="R57" i="1"/>
  <c r="R56" i="1"/>
  <c r="R55" i="1"/>
  <c r="R54" i="1"/>
  <c r="R53" i="1"/>
  <c r="R52" i="1"/>
  <c r="R51" i="1"/>
  <c r="R50" i="1"/>
  <c r="R49" i="1"/>
  <c r="M48" i="1"/>
  <c r="Q47" i="1"/>
  <c r="N47" i="1"/>
  <c r="Q44" i="1"/>
  <c r="P44" i="1"/>
  <c r="O44" i="1"/>
  <c r="N44" i="1"/>
  <c r="M44" i="1"/>
  <c r="L44" i="1"/>
  <c r="K44" i="1"/>
  <c r="J44" i="1"/>
  <c r="I44" i="1"/>
  <c r="H44" i="1"/>
  <c r="R43" i="1"/>
  <c r="R42" i="1"/>
  <c r="R41" i="1"/>
  <c r="R40" i="1"/>
  <c r="R39" i="1"/>
  <c r="M38" i="1"/>
  <c r="Q37" i="1"/>
  <c r="N37" i="1"/>
  <c r="Q35" i="1"/>
  <c r="P35" i="1"/>
  <c r="O35" i="1"/>
  <c r="N35" i="1"/>
  <c r="M35" i="1"/>
  <c r="L35" i="1"/>
  <c r="K35" i="1"/>
  <c r="J35" i="1"/>
  <c r="I35" i="1"/>
  <c r="H35" i="1"/>
  <c r="R33" i="1"/>
  <c r="R32" i="1"/>
  <c r="R31" i="1"/>
  <c r="R30" i="1"/>
  <c r="R29" i="1"/>
  <c r="R28" i="1"/>
  <c r="M27" i="1"/>
  <c r="Q26" i="1"/>
  <c r="N26" i="1"/>
  <c r="Q24" i="1"/>
  <c r="P24" i="1"/>
  <c r="O24" i="1"/>
  <c r="N24" i="1"/>
  <c r="M24" i="1"/>
  <c r="L24" i="1"/>
  <c r="K24" i="1"/>
  <c r="J24" i="1"/>
  <c r="I24" i="1"/>
  <c r="H24" i="1"/>
  <c r="R23" i="1"/>
  <c r="R22" i="1"/>
  <c r="R21" i="1"/>
  <c r="R20" i="1"/>
  <c r="R19" i="1"/>
  <c r="R18" i="1"/>
  <c r="R17" i="1"/>
  <c r="R16" i="1"/>
  <c r="R15" i="1"/>
  <c r="R14" i="1"/>
  <c r="R13" i="1"/>
  <c r="M12" i="1"/>
  <c r="Q11" i="1"/>
  <c r="N11" i="1"/>
  <c r="Q8" i="1"/>
  <c r="P8" i="1"/>
  <c r="O8" i="1"/>
  <c r="N8" i="1"/>
  <c r="M8" i="1"/>
  <c r="L8" i="1"/>
  <c r="K8" i="1"/>
  <c r="J8" i="1"/>
  <c r="I8" i="1"/>
  <c r="H8" i="1"/>
  <c r="R7" i="1"/>
  <c r="R6" i="1"/>
  <c r="R5" i="1"/>
  <c r="R4" i="1"/>
  <c r="G12" i="8" l="1"/>
  <c r="M54" i="5"/>
  <c r="M55" i="5" s="1"/>
  <c r="G69" i="8"/>
  <c r="H40" i="8"/>
  <c r="G91" i="2"/>
  <c r="D30" i="5"/>
  <c r="E109" i="2"/>
  <c r="G10" i="8"/>
  <c r="H10" i="8" s="1"/>
  <c r="F24" i="8"/>
  <c r="H24" i="8" s="1"/>
  <c r="F31" i="8"/>
  <c r="E21" i="7"/>
  <c r="G18" i="8"/>
  <c r="H18" i="8" s="1"/>
  <c r="E12" i="7"/>
  <c r="F91" i="2"/>
  <c r="K72" i="5"/>
  <c r="F25" i="8"/>
  <c r="H25" i="8" s="1"/>
  <c r="E23" i="7"/>
  <c r="C14" i="7"/>
  <c r="E10" i="7"/>
  <c r="C24" i="7"/>
  <c r="C29" i="7" s="1"/>
  <c r="E22" i="7"/>
  <c r="E11" i="7"/>
  <c r="E20" i="7"/>
  <c r="Q116" i="1"/>
  <c r="E9" i="7"/>
  <c r="N73" i="1"/>
  <c r="N81" i="1" s="1"/>
  <c r="Q151" i="1"/>
  <c r="E19" i="7" s="1"/>
  <c r="J73" i="1"/>
  <c r="J81" i="1" s="1"/>
  <c r="H116" i="1"/>
  <c r="P211" i="1"/>
  <c r="G59" i="2"/>
  <c r="F30" i="5"/>
  <c r="H73" i="1"/>
  <c r="L73" i="1"/>
  <c r="L81" i="1" s="1"/>
  <c r="P73" i="1"/>
  <c r="P81" i="1" s="1"/>
  <c r="N116" i="1"/>
  <c r="N211" i="1" s="1"/>
  <c r="L116" i="1"/>
  <c r="L211" i="1" s="1"/>
  <c r="E30" i="5"/>
  <c r="I73" i="1"/>
  <c r="M73" i="1"/>
  <c r="M81" i="1" s="1"/>
  <c r="J211" i="1"/>
  <c r="F51" i="2"/>
  <c r="N54" i="5"/>
  <c r="N55" i="5" s="1"/>
  <c r="N72" i="5" s="1"/>
  <c r="K10" i="8"/>
  <c r="M10" i="8" s="1"/>
  <c r="F11" i="8"/>
  <c r="H11" i="8" s="1"/>
  <c r="H12" i="8"/>
  <c r="K12" i="8"/>
  <c r="F17" i="8"/>
  <c r="H17" i="8" s="1"/>
  <c r="K18" i="8"/>
  <c r="F19" i="8"/>
  <c r="H19" i="8" s="1"/>
  <c r="L10" i="8"/>
  <c r="L12" i="8"/>
  <c r="L18" i="8"/>
  <c r="Q73" i="1"/>
  <c r="Q81" i="1" s="1"/>
  <c r="G33" i="8"/>
  <c r="H33" i="8" s="1"/>
  <c r="M72" i="5"/>
  <c r="K11" i="6"/>
  <c r="K12" i="6" s="1"/>
  <c r="M211" i="1"/>
  <c r="K211" i="1"/>
  <c r="O211" i="1"/>
  <c r="G51" i="2"/>
  <c r="K73" i="1"/>
  <c r="K81" i="1" s="1"/>
  <c r="O73" i="1"/>
  <c r="O81" i="1" s="1"/>
  <c r="L11" i="8"/>
  <c r="M11" i="8" s="1"/>
  <c r="L17" i="8"/>
  <c r="M17" i="8" s="1"/>
  <c r="L19" i="8"/>
  <c r="M19" i="8" s="1"/>
  <c r="L25" i="8"/>
  <c r="M25" i="8" s="1"/>
  <c r="F26" i="8"/>
  <c r="H26" i="8" s="1"/>
  <c r="H31" i="8"/>
  <c r="G32" i="8"/>
  <c r="H32" i="8" s="1"/>
  <c r="G41" i="8"/>
  <c r="H41" i="8" s="1"/>
  <c r="G42" i="8"/>
  <c r="H42" i="8" s="1"/>
  <c r="K24" i="8"/>
  <c r="M24" i="8" s="1"/>
  <c r="K26" i="8"/>
  <c r="M26" i="8" s="1"/>
  <c r="M18" i="8" l="1"/>
  <c r="M12" i="8"/>
  <c r="E14" i="7"/>
  <c r="D24" i="7"/>
  <c r="E17" i="7"/>
  <c r="J213" i="1"/>
  <c r="P213" i="1"/>
  <c r="Q211" i="1"/>
  <c r="A217" i="1" s="1"/>
  <c r="N213" i="1"/>
  <c r="K213" i="1"/>
  <c r="M213" i="1"/>
  <c r="L213" i="1"/>
  <c r="O213" i="1"/>
  <c r="E24" i="7" l="1"/>
  <c r="D29" i="7"/>
  <c r="Q2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Dianah</author>
  </authors>
  <commentList>
    <comment ref="Q7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M-EMS $279 &amp; Sr. Ctr. $124</t>
        </r>
      </text>
    </comment>
    <comment ref="Q1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Est. $25,000; Bd. took the $1,967 from Rds: Major Rd. Work </t>
        </r>
      </text>
    </comment>
    <comment ref="Q1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Est. $15,000</t>
        </r>
      </text>
    </comment>
    <comment ref="Q15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Est. $4,000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Dianah</author>
  </authors>
  <commentList>
    <comment ref="L128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Est. $4,000</t>
        </r>
      </text>
    </comment>
  </commentList>
</comments>
</file>

<file path=xl/sharedStrings.xml><?xml version="1.0" encoding="utf-8"?>
<sst xmlns="http://schemas.openxmlformats.org/spreadsheetml/2006/main" count="1229" uniqueCount="679">
  <si>
    <t>TAXES</t>
  </si>
  <si>
    <t>2019 Proposed</t>
  </si>
  <si>
    <t>Acct No.</t>
  </si>
  <si>
    <t>Account Description</t>
  </si>
  <si>
    <t>Actual</t>
  </si>
  <si>
    <t>Notes</t>
  </si>
  <si>
    <t>Budget</t>
  </si>
  <si>
    <t>As of 8/31</t>
  </si>
  <si>
    <t>YE (Est.)</t>
  </si>
  <si>
    <t>100-41111</t>
  </si>
  <si>
    <t>Real property Taxes</t>
  </si>
  <si>
    <t>100-41112</t>
  </si>
  <si>
    <t>R/P Tax overpayment</t>
  </si>
  <si>
    <t>100-41140</t>
  </si>
  <si>
    <t>Mobile Home Fees</t>
  </si>
  <si>
    <t>100-41900</t>
  </si>
  <si>
    <t>Other Taxes</t>
  </si>
  <si>
    <t>TAXES TOTALS:</t>
  </si>
  <si>
    <t>INTERGOVERNMENTAL REVENUES</t>
  </si>
  <si>
    <t>100-43410</t>
  </si>
  <si>
    <t>State Shared Revenues</t>
  </si>
  <si>
    <t>100-43420</t>
  </si>
  <si>
    <t>Fire Insurance Tax</t>
  </si>
  <si>
    <t>100-43531</t>
  </si>
  <si>
    <t>Local Transportation Aid</t>
  </si>
  <si>
    <t>100-43545</t>
  </si>
  <si>
    <t>Recycling Grant</t>
  </si>
  <si>
    <t>100-43546</t>
  </si>
  <si>
    <t>Computer Aid from WI</t>
  </si>
  <si>
    <t>100-43620</t>
  </si>
  <si>
    <t>Payment in Lieu of St Tax</t>
  </si>
  <si>
    <t>100-43640</t>
  </si>
  <si>
    <t>Lottery Credit</t>
  </si>
  <si>
    <t>DON'T PUT LOTTERY CREDIT HERE, IT GOES IN 41111</t>
  </si>
  <si>
    <t>100-43650</t>
  </si>
  <si>
    <t>Managed Forest Land Aid</t>
  </si>
  <si>
    <t>100-41150</t>
  </si>
  <si>
    <t>Forest Crop/Managed Forest</t>
  </si>
  <si>
    <t>100-41320</t>
  </si>
  <si>
    <t>PILT-Other Exempt Entities</t>
  </si>
  <si>
    <t>100-43790</t>
  </si>
  <si>
    <t>County-Veterans Graves</t>
  </si>
  <si>
    <t>INTERGOVERNMENTAL REVENUES TOTALS:</t>
  </si>
  <si>
    <t>LICENSES &amp; PERMITS</t>
  </si>
  <si>
    <t>100-44110</t>
  </si>
  <si>
    <t>Liquor Licenses</t>
  </si>
  <si>
    <t>100-44120</t>
  </si>
  <si>
    <t>Other Business Licenses</t>
  </si>
  <si>
    <t>100-44121</t>
  </si>
  <si>
    <t>Cigarette Licenses</t>
  </si>
  <si>
    <t>100-44201</t>
  </si>
  <si>
    <t>Dog Licenses</t>
  </si>
  <si>
    <t>100-44301</t>
  </si>
  <si>
    <t>Building Permits</t>
  </si>
  <si>
    <t>100-44302</t>
  </si>
  <si>
    <t>Road Permits</t>
  </si>
  <si>
    <t>100-44303</t>
  </si>
  <si>
    <t>Zoning Permits</t>
  </si>
  <si>
    <t>LICENSE &amp; PERMIT TOTALS:</t>
  </si>
  <si>
    <t>PUBLIC CHARGES FOR SERVICES</t>
  </si>
  <si>
    <t>100-46110</t>
  </si>
  <si>
    <t>Publication Fees</t>
  </si>
  <si>
    <t>100-46115</t>
  </si>
  <si>
    <t>Service Fees</t>
  </si>
  <si>
    <t>100-46310</t>
  </si>
  <si>
    <t>HWY Maintenance/Construct</t>
  </si>
  <si>
    <t>100-46420</t>
  </si>
  <si>
    <t>Refuse Collection/Tax Roll</t>
  </si>
  <si>
    <t>100-46423</t>
  </si>
  <si>
    <t>Refuse/Recycle Spec Chg</t>
  </si>
  <si>
    <t>PUBLIC CHARGES FOR SERVICE TOTAL:</t>
  </si>
  <si>
    <t>MISCELLANEOUS REVENUE</t>
  </si>
  <si>
    <t>100-48110</t>
  </si>
  <si>
    <t>Interest</t>
  </si>
  <si>
    <t>10300 from CD mature</t>
  </si>
  <si>
    <t>100-48303</t>
  </si>
  <si>
    <t>Sale of Hwy Property</t>
  </si>
  <si>
    <t>100-48501</t>
  </si>
  <si>
    <t>Donation Copies</t>
  </si>
  <si>
    <t>100-48502</t>
  </si>
  <si>
    <t>Plan Commission Fees</t>
  </si>
  <si>
    <t>100-48503</t>
  </si>
  <si>
    <t>Atty Fees Reimbursed</t>
  </si>
  <si>
    <t>100-48504</t>
  </si>
  <si>
    <t>Engineer Fees Reimbursed</t>
  </si>
  <si>
    <t>100-48505</t>
  </si>
  <si>
    <t>Retainer Fees</t>
  </si>
  <si>
    <t>100-48506</t>
  </si>
  <si>
    <t>Franchise Fees</t>
  </si>
  <si>
    <t>100-48507</t>
  </si>
  <si>
    <t>Rd Maint-GL Biogas</t>
  </si>
  <si>
    <t>32a</t>
  </si>
  <si>
    <t>100-48508</t>
  </si>
  <si>
    <t>ATC Revenue Annual</t>
  </si>
  <si>
    <t>32b</t>
  </si>
  <si>
    <t>100-48509</t>
  </si>
  <si>
    <t>ATC 1 Time</t>
  </si>
  <si>
    <t>TDR Consult Fee Reimbursed</t>
  </si>
  <si>
    <t>100-48510</t>
  </si>
  <si>
    <t>Density Studies</t>
  </si>
  <si>
    <t>100-48900</t>
  </si>
  <si>
    <t>*Misc. Revenues</t>
  </si>
  <si>
    <t>MISC. REVENUE TOTAL:</t>
  </si>
  <si>
    <t>OTHER FINANCING SOURCES</t>
  </si>
  <si>
    <t>100-49100</t>
  </si>
  <si>
    <t>Proceeds From Longterm Debt</t>
  </si>
  <si>
    <t>100-49200</t>
  </si>
  <si>
    <t>Trf from LPL-Kingsley</t>
  </si>
  <si>
    <t>100-49999</t>
  </si>
  <si>
    <t>Fund Balance Applied</t>
  </si>
  <si>
    <t>OTHER FIN. SOURCES TOTAL:</t>
  </si>
  <si>
    <t>TOTAL REVENUES</t>
  </si>
  <si>
    <t>OTHER SOURCES</t>
  </si>
  <si>
    <t>Proceeds from Long Term Debt</t>
  </si>
  <si>
    <t>*Fund Balance Applied</t>
  </si>
  <si>
    <t>OTHER SOURCES TOTAL:</t>
  </si>
  <si>
    <t>REVENUES &amp; OTHER SOURCES TOTAL</t>
  </si>
  <si>
    <t>GENERAL GOVERNMENT</t>
  </si>
  <si>
    <t>100-51101-100</t>
  </si>
  <si>
    <t>Board: Wages</t>
  </si>
  <si>
    <t>100-51101-222</t>
  </si>
  <si>
    <t>Board: FICA</t>
  </si>
  <si>
    <t>100-51101-347</t>
  </si>
  <si>
    <t>Board: Dues</t>
  </si>
  <si>
    <t>100-51101-390</t>
  </si>
  <si>
    <t>Board: Other</t>
  </si>
  <si>
    <t>100-51300-290</t>
  </si>
  <si>
    <t>Legal Fees: Resident Fees</t>
  </si>
  <si>
    <t>100-51310-290</t>
  </si>
  <si>
    <t>Legal Fees: Town Expenses</t>
  </si>
  <si>
    <t>100-51420-100</t>
  </si>
  <si>
    <t>Clrk/Treas: Wages</t>
  </si>
  <si>
    <t>100-51420-222</t>
  </si>
  <si>
    <t>Clrk/Treas: FICA</t>
  </si>
  <si>
    <t>100-51420-223</t>
  </si>
  <si>
    <t>Clrk/Treas: Retirement</t>
  </si>
  <si>
    <t>100-51420-224</t>
  </si>
  <si>
    <t>Clrk/Treas: Health &amp; Dental</t>
  </si>
  <si>
    <t>100-51420-390</t>
  </si>
  <si>
    <t>Clrk/Treas: Other</t>
  </si>
  <si>
    <t>100-51425-290</t>
  </si>
  <si>
    <t>Technology: Prof Services</t>
  </si>
  <si>
    <t>100-51431-100</t>
  </si>
  <si>
    <t>Deputy Clrk/Treas: Wages</t>
  </si>
  <si>
    <t>100-51431-222</t>
  </si>
  <si>
    <t>Deputy Clrk/Treas: FICA</t>
  </si>
  <si>
    <t>100-51431-223</t>
  </si>
  <si>
    <t>Deputy Clrk/Treas: Retirement</t>
  </si>
  <si>
    <t>100-51431-224</t>
  </si>
  <si>
    <t>100-51431-390</t>
  </si>
  <si>
    <t>Deputy Clrk/Treas: Other</t>
  </si>
  <si>
    <t>100-51440-390</t>
  </si>
  <si>
    <t>Elections: Other</t>
  </si>
  <si>
    <t>100-51441-100</t>
  </si>
  <si>
    <t>Election Inspectors: Wages</t>
  </si>
  <si>
    <t>100-51510-290</t>
  </si>
  <si>
    <t>Accountant: Prof Services</t>
  </si>
  <si>
    <t>100-51530-100</t>
  </si>
  <si>
    <t>Assessor: Wages</t>
  </si>
  <si>
    <t>100-51603-340</t>
  </si>
  <si>
    <t>Hall/Garage: Heat</t>
  </si>
  <si>
    <t>100-51603-341</t>
  </si>
  <si>
    <t>Hall/Garage: Telephone</t>
  </si>
  <si>
    <t>100-51603-342</t>
  </si>
  <si>
    <t>Hall/Garage: Electric</t>
  </si>
  <si>
    <t>100-51603-343</t>
  </si>
  <si>
    <t>Hall/Garage: Salt Shed</t>
  </si>
  <si>
    <t>100-51603-344</t>
  </si>
  <si>
    <t>Hall/Garage: Bldg Fund</t>
  </si>
  <si>
    <t>100-51603-345</t>
  </si>
  <si>
    <t>Hall/Garage: Hwy Ins</t>
  </si>
  <si>
    <t>100-51603-346</t>
  </si>
  <si>
    <t>Hall/Garage: Lawn Care</t>
  </si>
  <si>
    <t>100-51603-390</t>
  </si>
  <si>
    <t>Hall/Garage: Other-Hall</t>
  </si>
  <si>
    <t>100-51603-391</t>
  </si>
  <si>
    <t>Hall/Garage: Other-Garage</t>
  </si>
  <si>
    <t>100-51999-399</t>
  </si>
  <si>
    <t>Reserve for Contingencies</t>
  </si>
  <si>
    <t>GENERAL GOV. TOTAL:</t>
  </si>
  <si>
    <t>PUBLIC SAFETY</t>
  </si>
  <si>
    <t>100-52201-290</t>
  </si>
  <si>
    <t>Fire: Waunakee</t>
  </si>
  <si>
    <t>100-52201-291</t>
  </si>
  <si>
    <t>Fire: Middleton</t>
  </si>
  <si>
    <t>100-52301-290</t>
  </si>
  <si>
    <t>EMS: Waunakee</t>
  </si>
  <si>
    <t>100-52301-291</t>
  </si>
  <si>
    <t>EMS: Middleton</t>
  </si>
  <si>
    <t>100-52301-292</t>
  </si>
  <si>
    <t>EMS: Cross Plains</t>
  </si>
  <si>
    <t>100-52401-100</t>
  </si>
  <si>
    <t>Bldg Ins: Wages</t>
  </si>
  <si>
    <t>PUBLIC SAFETY TOTAL:</t>
  </si>
  <si>
    <t>DEPT. OF PUBLIC WORKS</t>
  </si>
  <si>
    <t>100-53310-100</t>
  </si>
  <si>
    <t>Roads: Wages</t>
  </si>
  <si>
    <t>100-53310-101</t>
  </si>
  <si>
    <t>Roads: Wages PT</t>
  </si>
  <si>
    <t>100-53310-222</t>
  </si>
  <si>
    <t>Roads: FICA</t>
  </si>
  <si>
    <t>100-53310-223</t>
  </si>
  <si>
    <t>Roads: Retirement</t>
  </si>
  <si>
    <t>100-53310-224</t>
  </si>
  <si>
    <t>Roads: Health &amp; Dental</t>
  </si>
  <si>
    <t>100-53310-230</t>
  </si>
  <si>
    <t>*Roads: Repair &amp; Maint</t>
  </si>
  <si>
    <t>100-53310-370</t>
  </si>
  <si>
    <t>Roads: Salt &amp; Sand</t>
  </si>
  <si>
    <t>100-53310-371</t>
  </si>
  <si>
    <t>Roads: Major Road Work</t>
  </si>
  <si>
    <t>100-53310-372</t>
  </si>
  <si>
    <t>Roads: Gravel</t>
  </si>
  <si>
    <t>100-53310-373</t>
  </si>
  <si>
    <t>*Roads:  Fuel</t>
  </si>
  <si>
    <t>100-53310-374</t>
  </si>
  <si>
    <t>Roads:  Signs</t>
  </si>
  <si>
    <t>100-53310-375</t>
  </si>
  <si>
    <t>Roads: Cold Mix/Gravel</t>
  </si>
  <si>
    <t>100-53310-390</t>
  </si>
  <si>
    <t>Roads: Single Purpose Roads</t>
  </si>
  <si>
    <t>100-53330-100</t>
  </si>
  <si>
    <t>Emer. Supplies/Generator</t>
  </si>
  <si>
    <t>100-53330-200</t>
  </si>
  <si>
    <t>ATC One Time</t>
  </si>
  <si>
    <t>100-53330-300</t>
  </si>
  <si>
    <t>Biogas Annual / Maint.</t>
  </si>
  <si>
    <t>100-53360-000</t>
  </si>
  <si>
    <t>*Engineer: Town Fees</t>
  </si>
  <si>
    <t>100-53360-290</t>
  </si>
  <si>
    <t>Engineer: Resident Fees</t>
  </si>
  <si>
    <t>100-53420-390</t>
  </si>
  <si>
    <t>Street Lighting: Other</t>
  </si>
  <si>
    <t>100-53620-390</t>
  </si>
  <si>
    <t>*Refuse Collection</t>
  </si>
  <si>
    <t>DEPT. OF PUBLIC WORKS TOTAL:</t>
  </si>
  <si>
    <t>HEALTH &amp; HUMAN SERVICES</t>
  </si>
  <si>
    <t>100-54600-390</t>
  </si>
  <si>
    <t>Aging/Outreach: Other</t>
  </si>
  <si>
    <t>100-54910-190</t>
  </si>
  <si>
    <t>Cemetery-Misc</t>
  </si>
  <si>
    <t>100-54910-290</t>
  </si>
  <si>
    <t>Cemetery: Kingsley</t>
  </si>
  <si>
    <t>100-54910-390</t>
  </si>
  <si>
    <t>Cemetery: Kohlman-Mowing</t>
  </si>
  <si>
    <t>HEALTH &amp; HUMAN SERVICES TOTAL:</t>
  </si>
  <si>
    <t>CONSERVATION &amp; DEVELOPMENT</t>
  </si>
  <si>
    <t>100-56300-100</t>
  </si>
  <si>
    <t>Planning: PC Wages</t>
  </si>
  <si>
    <t>100-56300-222</t>
  </si>
  <si>
    <t>Planning: PC FICA</t>
  </si>
  <si>
    <t>100-56300-290</t>
  </si>
  <si>
    <t>Planning: Prof Plan Services</t>
  </si>
  <si>
    <t>100-56300-390</t>
  </si>
  <si>
    <t>Planning: PC Other</t>
  </si>
  <si>
    <t>100-56400-290</t>
  </si>
  <si>
    <t>Zoning:  Resident Fees</t>
  </si>
  <si>
    <t>100-56410-290</t>
  </si>
  <si>
    <t>Zoning:  Town Fees</t>
  </si>
  <si>
    <t>100-56500-290</t>
  </si>
  <si>
    <t>Mapping:  Prof. Services</t>
  </si>
  <si>
    <t>100-56600-290</t>
  </si>
  <si>
    <t>TDR Admin:  Resident Fees</t>
  </si>
  <si>
    <t>100-56610-290</t>
  </si>
  <si>
    <t>TDR Admin:  Town Fees</t>
  </si>
  <si>
    <t>100-56900-390</t>
  </si>
  <si>
    <t>Cons/Dev: Other</t>
  </si>
  <si>
    <t>CONSERVATION &amp; DEVELOPMENT TOTAL:</t>
  </si>
  <si>
    <t>CAPITAL OUTLAY</t>
  </si>
  <si>
    <t>100-57130-810</t>
  </si>
  <si>
    <t>Gen Admin: Capital Exp.</t>
  </si>
  <si>
    <t>100-57221-810</t>
  </si>
  <si>
    <t>WA Fire:  Air Tanks 5 Yrs.</t>
  </si>
  <si>
    <t>100-57400-810</t>
  </si>
  <si>
    <t>CP EMS:  Capital Exp.  Ambulance</t>
  </si>
  <si>
    <t>100-57324-810</t>
  </si>
  <si>
    <t>Highway: Capital Exp</t>
  </si>
  <si>
    <t>100-57325-810</t>
  </si>
  <si>
    <t>Capital Reserve Exp.</t>
  </si>
  <si>
    <t>CAPITAL OUTLAY TOTAL:</t>
  </si>
  <si>
    <t>DEBT SERVICE</t>
  </si>
  <si>
    <t>100-58101-610</t>
  </si>
  <si>
    <t>Truck: Principal 3 yr.</t>
  </si>
  <si>
    <t>100-58101-620</t>
  </si>
  <si>
    <t>Truck: Interest</t>
  </si>
  <si>
    <t>100-58212-000</t>
  </si>
  <si>
    <t>2015 Road Maintance 2 yr.</t>
  </si>
  <si>
    <t>100-58212-610</t>
  </si>
  <si>
    <t>2015 Road Maintenance Int.</t>
  </si>
  <si>
    <t>100-58213-610</t>
  </si>
  <si>
    <t>WA Fire Bldg: Principal</t>
  </si>
  <si>
    <t>100-58213-620</t>
  </si>
  <si>
    <t>WA Fire Bldg: Interest</t>
  </si>
  <si>
    <t>100-58214-610</t>
  </si>
  <si>
    <t>2017 Roads &amp; Salt Shed Prin. 2 yr</t>
  </si>
  <si>
    <t>100-58214-620</t>
  </si>
  <si>
    <t>2017 Roads &amp; Salt Shed Int. 2 yr.</t>
  </si>
  <si>
    <t>100-58215-610</t>
  </si>
  <si>
    <t>2018 Salt Shed Principal 2 yr.</t>
  </si>
  <si>
    <t>100-58215-620</t>
  </si>
  <si>
    <t>2018 Salt Shed Interest 2 yr.</t>
  </si>
  <si>
    <t>100-58301-610</t>
  </si>
  <si>
    <t>WA EMS Bldg: Principal</t>
  </si>
  <si>
    <t>100-58301-620</t>
  </si>
  <si>
    <t>WA EMS Bldg: Interest</t>
  </si>
  <si>
    <t>DEBT SERVICES TOTAL:</t>
  </si>
  <si>
    <t>OTHER</t>
  </si>
  <si>
    <t>TRANSFERS TO DESIGNATED ACCTS.</t>
  </si>
  <si>
    <t>100-11310</t>
  </si>
  <si>
    <t>Misc. Savings</t>
  </si>
  <si>
    <t>100-11314</t>
  </si>
  <si>
    <t>Digester Rd. Maint. Savings</t>
  </si>
  <si>
    <t>OTHER TOTAL:</t>
  </si>
  <si>
    <t>EXPENSES &amp; TRANSFERS OUT TOTAL</t>
  </si>
  <si>
    <t>NET TOTAL</t>
  </si>
  <si>
    <t>100-48900  Miscellaneous Revenue</t>
  </si>
  <si>
    <t>to 8/31/18</t>
  </si>
  <si>
    <t>Reimburse Damaged Property</t>
  </si>
  <si>
    <t>Election Recount</t>
  </si>
  <si>
    <t>Scrap Metal</t>
  </si>
  <si>
    <t>Large item dropoff-electronics</t>
  </si>
  <si>
    <t>Reimbursed cell phone(M Grosse)</t>
  </si>
  <si>
    <t>Town Hall &amp; Pape Park rental</t>
  </si>
  <si>
    <t>Dividend</t>
  </si>
  <si>
    <t>NSF Fees</t>
  </si>
  <si>
    <t>Project Hero</t>
  </si>
  <si>
    <t>Admin Fees--T. of Middleton</t>
  </si>
  <si>
    <t>SPRs - T. of Middleton</t>
  </si>
  <si>
    <t>Audit Payroll</t>
  </si>
  <si>
    <t>Misc.  Tax penalty, copies,interest</t>
  </si>
  <si>
    <t>Misc.</t>
  </si>
  <si>
    <t>Reimbursed overpayment</t>
  </si>
  <si>
    <t>State W/H</t>
  </si>
  <si>
    <t>ATC—TH use</t>
  </si>
  <si>
    <t>Reimburse Park shelter</t>
  </si>
  <si>
    <t>paid rural ins co 2x</t>
  </si>
  <si>
    <t>reclassify koch rd/vacation fees</t>
  </si>
  <si>
    <t>Chips/Labor</t>
  </si>
  <si>
    <t>Reimburse NW Stone</t>
  </si>
  <si>
    <t>TOTAL</t>
  </si>
  <si>
    <t>100-49999 Fund Balance Applied</t>
  </si>
  <si>
    <t>Truck Savings</t>
  </si>
  <si>
    <t>Loan: 100K Roads; 30K Salt Shed</t>
  </si>
  <si>
    <t>TID</t>
  </si>
  <si>
    <t>100-51420-390 Clrk/Treas: Other</t>
  </si>
  <si>
    <t>Meetings, Conferences, Rooms</t>
  </si>
  <si>
    <t>***Clerks Institute ; WMCA Conf; WTA; Membership fees</t>
  </si>
  <si>
    <t>Background checks</t>
  </si>
  <si>
    <t>Notices &amp; Printing</t>
  </si>
  <si>
    <t>Directories, Posters etc</t>
  </si>
  <si>
    <t>Postage</t>
  </si>
  <si>
    <t>Mileage (including for conf/mtng)</t>
  </si>
  <si>
    <t>Office Supplies</t>
  </si>
  <si>
    <t>Bonds—officials, staff, notary</t>
  </si>
  <si>
    <t>Newsletter print, postage &amp; permit</t>
  </si>
  <si>
    <t>Life AD &amp; D Ins</t>
  </si>
  <si>
    <t>Misc—auditor lunch, flowers, NSF</t>
  </si>
  <si>
    <t>NW Stone</t>
  </si>
  <si>
    <t>Late filing penalty</t>
  </si>
  <si>
    <t>Coffee</t>
  </si>
  <si>
    <t>Computer/printer</t>
  </si>
  <si>
    <t>Laser Checks</t>
  </si>
  <si>
    <t>Bank Charges</t>
  </si>
  <si>
    <t>100-51425-290 Technology: Prof Services</t>
  </si>
  <si>
    <t>Copier Lease (sharp color copier)</t>
  </si>
  <si>
    <t>Website support</t>
  </si>
  <si>
    <t>Financial Software support</t>
  </si>
  <si>
    <t>Laptop/computer support</t>
  </si>
  <si>
    <t>Dog license sofware</t>
  </si>
  <si>
    <t>100-51603-390 Hall/Garage: Other-Hall</t>
  </si>
  <si>
    <t>Cleaning</t>
  </si>
  <si>
    <t>Flags/Am eagle emblem</t>
  </si>
  <si>
    <t>Painting &amp; supplies</t>
  </si>
  <si>
    <t>Pest Control</t>
  </si>
  <si>
    <t>HVAC Tune-ups</t>
  </si>
  <si>
    <t>Floor Mats</t>
  </si>
  <si>
    <t>Mailbox</t>
  </si>
  <si>
    <t>Kendell, vault door battery</t>
  </si>
  <si>
    <t>Jefferson fire &amp; safety</t>
  </si>
  <si>
    <t>Dresen electric, serv call</t>
  </si>
  <si>
    <t>Kalscheur septic, empty tank</t>
  </si>
  <si>
    <t>AED Battery</t>
  </si>
  <si>
    <t>Supplies</t>
  </si>
  <si>
    <t>100-53310-230  Roads: Repair &amp; Maint</t>
  </si>
  <si>
    <t>Repairs, parts</t>
  </si>
  <si>
    <t>Signs</t>
  </si>
  <si>
    <t>Cold Mix, Gravel,Crushed stone</t>
  </si>
  <si>
    <t>Recycled Asphalt</t>
  </si>
  <si>
    <t>Culverts</t>
  </si>
  <si>
    <t>Subcontractors--Equip. Rental</t>
  </si>
  <si>
    <t>Admin Fee, Mileage</t>
  </si>
  <si>
    <t>Mailboxes</t>
  </si>
  <si>
    <t>Insurance - Life, AD &amp; D</t>
  </si>
  <si>
    <t>Chain Saw</t>
  </si>
  <si>
    <t>Disk</t>
  </si>
  <si>
    <t>Publishing</t>
  </si>
  <si>
    <t>100-53310-373  Roads: Fuel</t>
  </si>
  <si>
    <t>Fuel</t>
  </si>
  <si>
    <t>100-53360-000  Town Engineer Fees</t>
  </si>
  <si>
    <t>Shamrock Glen</t>
  </si>
  <si>
    <t>Greenbriar</t>
  </si>
  <si>
    <t>GIS (mapping)</t>
  </si>
  <si>
    <t>Misc. (2017 residents) (2018 web)</t>
  </si>
  <si>
    <t xml:space="preserve"> </t>
  </si>
  <si>
    <t>Schneider Rd</t>
  </si>
  <si>
    <t>2017 Road Improvements</t>
  </si>
  <si>
    <t>Westbridge</t>
  </si>
  <si>
    <t>Enchanted/daybreak/foxfire</t>
  </si>
  <si>
    <t>Ditch grading--$51,263</t>
  </si>
  <si>
    <t>Asphalt--$163,241</t>
  </si>
  <si>
    <t>Asphalt II--$95,526</t>
  </si>
  <si>
    <t>Road Review</t>
  </si>
  <si>
    <t>Parking Lot? ATC $</t>
  </si>
  <si>
    <t>HAVEN'T USED FOR 2018</t>
  </si>
  <si>
    <t>PILT--Other Exempt Entities</t>
  </si>
  <si>
    <t>0</t>
  </si>
  <si>
    <t>Only $ since 2013 was 2015 amount (in Dec.):  $14500 from Biogas &amp; $11300 Audit adjustment.  2017 - rec'd in Jan. (2016 $ perhaps?)</t>
  </si>
  <si>
    <t>Ag Land conversion--houses built on ag land; we keep 1/2 &amp; County keeps 1/2.  2016: Got end of September; 2015:  Jan &amp; Dec.;  2014 - $0</t>
  </si>
  <si>
    <t>"2% Dues" we get back from State for Fire Departments.  Per Mary Rossler @ Middleton, kind of a guess.</t>
  </si>
  <si>
    <t>5490</t>
  </si>
  <si>
    <t>June</t>
  </si>
  <si>
    <t>Qtrly. Payments from State</t>
  </si>
  <si>
    <t>2016 Shows $800 (2 payments: 153 &amp; 644) I think the $644 should have gone into TID $.  That's why budgeted $500 for 2017</t>
  </si>
  <si>
    <t>Payment in Lieu of State Tax</t>
  </si>
  <si>
    <t>$ from DNR, DOA &amp;/or DOT.  We take $ in approx April &amp; pay out to Schools in Feb.</t>
  </si>
  <si>
    <t>One bar closed</t>
  </si>
  <si>
    <t>Mobile Home &amp; Salvage Yard.  Receive in Dec.</t>
  </si>
  <si>
    <t>We keep 10% of Permit fees per contract w/ Safebuilt</t>
  </si>
  <si>
    <t>$125 Excavation fees &amp; as of 2018, we started putting driveway permits in here too rather than in Building Permits</t>
  </si>
  <si>
    <t>$25 Special assessment searches from title companies.  Dependant on home sales.</t>
  </si>
  <si>
    <t>Only 1164 households invoiced, not 1200</t>
  </si>
  <si>
    <t>$6000 from Truck CD mature to MM</t>
  </si>
  <si>
    <t>CUP, Rezones $350 for meeting</t>
  </si>
  <si>
    <t>Pass thru fees.  We take a retainer for Town prof. services &amp; then reimburse for unexpended amounts</t>
  </si>
  <si>
    <t>$130,000 Borrow</t>
  </si>
  <si>
    <t>$21,898 TIF</t>
  </si>
  <si>
    <t>Chair:  $250 per diem/qtr. + $50 per meeting</t>
  </si>
  <si>
    <t>Supervisors:  $50/meeting</t>
  </si>
  <si>
    <t>DCTA - $2500 &amp; WTA - $930</t>
  </si>
  <si>
    <t>2017 - Had additional "Opt Out Fees" of $2500</t>
  </si>
  <si>
    <t>Mileage, flowers, lunches--auditors, Large Item volunteers,</t>
  </si>
  <si>
    <t>9600 audit, 1000 TIF</t>
  </si>
  <si>
    <t xml:space="preserve">Roads: Salt &amp; Sand  </t>
  </si>
  <si>
    <t>(JAN ONLY INCLUDED SALT. SAND IN ROAD MAINT.)</t>
  </si>
  <si>
    <t>Salt $70/ton; Sand $9/ton.  Approx. 500 tons/yr. = $40,000</t>
  </si>
  <si>
    <t>YEAR</t>
  </si>
  <si>
    <t>Financial Software</t>
  </si>
  <si>
    <t>Website host move</t>
  </si>
  <si>
    <t>DaneCom</t>
  </si>
  <si>
    <t>Holding Tank</t>
  </si>
  <si>
    <t>FINAL PAYMENT</t>
  </si>
  <si>
    <t>END 2020</t>
  </si>
  <si>
    <t>END 2019</t>
  </si>
  <si>
    <t>ENDS 2019</t>
  </si>
  <si>
    <t>ENDS 2020</t>
  </si>
  <si>
    <t>PARKS</t>
  </si>
  <si>
    <t>As of 10/31</t>
  </si>
  <si>
    <t>REVENUES</t>
  </si>
  <si>
    <t>400-48100</t>
  </si>
  <si>
    <t>Parks Investment Income</t>
  </si>
  <si>
    <t>400-48110</t>
  </si>
  <si>
    <t>Park Revenue</t>
  </si>
  <si>
    <t>400-48500</t>
  </si>
  <si>
    <t>Park Donations</t>
  </si>
  <si>
    <t>400-49210</t>
  </si>
  <si>
    <t>Transfer From Gen'l Fund</t>
  </si>
  <si>
    <t>400-11100</t>
  </si>
  <si>
    <t>Working Cash</t>
  </si>
  <si>
    <t>EXPENSES</t>
  </si>
  <si>
    <t>400-57130-801</t>
  </si>
  <si>
    <t>Park General Expenses</t>
  </si>
  <si>
    <t>400-57130-802</t>
  </si>
  <si>
    <t>Parks Lawn Care</t>
  </si>
  <si>
    <t>400-57130-810</t>
  </si>
  <si>
    <t>Capital Expense - Parks</t>
  </si>
  <si>
    <t>OTHER EXPENSES</t>
  </si>
  <si>
    <t>400-59100-000</t>
  </si>
  <si>
    <t>Transfer to General Fund</t>
  </si>
  <si>
    <t>Working Cash-Parks</t>
  </si>
  <si>
    <t>400-11200</t>
  </si>
  <si>
    <t>Parks-Assets</t>
  </si>
  <si>
    <t>Total Assets</t>
  </si>
  <si>
    <t>400-21100</t>
  </si>
  <si>
    <t>Accounts Payable</t>
  </si>
  <si>
    <t>400-25100</t>
  </si>
  <si>
    <t>Due to General Fund</t>
  </si>
  <si>
    <t>Total Liabilities</t>
  </si>
  <si>
    <t>400-34300</t>
  </si>
  <si>
    <t>Fund Balance</t>
  </si>
  <si>
    <t>Rev over Expend-YTD</t>
  </si>
  <si>
    <t>Total Fund Equity</t>
  </si>
  <si>
    <t>Park Investment Revenue</t>
  </si>
  <si>
    <t>Tranfer from GF</t>
  </si>
  <si>
    <t>Total Fund Revenue</t>
  </si>
  <si>
    <t>EXPENDITURES</t>
  </si>
  <si>
    <t>Park General Expense</t>
  </si>
  <si>
    <t>Park Lawn Care</t>
  </si>
  <si>
    <t>Capital Expense-Parks</t>
  </si>
  <si>
    <t>Park-TRF to GF</t>
  </si>
  <si>
    <t>Total Fund Expenditures</t>
  </si>
  <si>
    <t>KINGSLEY CEMETERY</t>
  </si>
  <si>
    <t>200-11200</t>
  </si>
  <si>
    <t>Kingsley Cemetery Investments</t>
  </si>
  <si>
    <t>200-34300</t>
  </si>
  <si>
    <t>Kingsley Fund Balance</t>
  </si>
  <si>
    <t>Rev ovr Expen-YTD</t>
  </si>
  <si>
    <t>Total Liabilities &amp; Equity</t>
  </si>
  <si>
    <t>200-48100</t>
  </si>
  <si>
    <t>Kingsley Invest Income</t>
  </si>
  <si>
    <t>200-48110</t>
  </si>
  <si>
    <t>Kingsley Cemetery</t>
  </si>
  <si>
    <t>Total Revenue</t>
  </si>
  <si>
    <t>200-57130-802</t>
  </si>
  <si>
    <t>Kingsley Lawn Care</t>
  </si>
  <si>
    <t>200-59100-000</t>
  </si>
  <si>
    <t>Kingsley Trf to Gen Fund</t>
  </si>
  <si>
    <t>Total Expenditures</t>
  </si>
  <si>
    <t>% Change</t>
  </si>
  <si>
    <t>Local Property Tax</t>
  </si>
  <si>
    <t>Mobile Home</t>
  </si>
  <si>
    <t>Intergovernmental Rev</t>
  </si>
  <si>
    <t>Licenses/Permits</t>
  </si>
  <si>
    <t>Public Charges for Services</t>
  </si>
  <si>
    <t>Miscellaneous</t>
  </si>
  <si>
    <t>Total Revenues</t>
  </si>
  <si>
    <t>General Government</t>
  </si>
  <si>
    <t>Public Safety</t>
  </si>
  <si>
    <t>Public Works/Road Maint.</t>
  </si>
  <si>
    <t>Health/Human Services</t>
  </si>
  <si>
    <t>Conservation &amp; Dev</t>
  </si>
  <si>
    <t>Capital Expense</t>
  </si>
  <si>
    <t>Debt Service</t>
  </si>
  <si>
    <t>Transfers Out</t>
  </si>
  <si>
    <t>FINAL:</t>
  </si>
  <si>
    <t>C/T</t>
  </si>
  <si>
    <t>Dep. C/T -</t>
  </si>
  <si>
    <t>Road Patrolman:</t>
  </si>
  <si>
    <t>P/T Plow drivers:</t>
  </si>
  <si>
    <t>+ /hr.</t>
  </si>
  <si>
    <t>Wages</t>
  </si>
  <si>
    <t>FICA</t>
  </si>
  <si>
    <t>Retirement</t>
  </si>
  <si>
    <t>Clerk</t>
  </si>
  <si>
    <t>Annual</t>
  </si>
  <si>
    <t>Deputy (1820 hrs.)</t>
  </si>
  <si>
    <t>/hr.</t>
  </si>
  <si>
    <t>Patrolman</t>
  </si>
  <si>
    <r>
      <t xml:space="preserve">Rd Wages </t>
    </r>
    <r>
      <rPr>
        <b/>
        <sz val="9"/>
        <color theme="1"/>
        <rFont val="Calibri"/>
        <family val="2"/>
      </rPr>
      <t>(Reg &amp; OT)</t>
    </r>
  </si>
  <si>
    <t>YTD</t>
  </si>
  <si>
    <t>Est. YE</t>
  </si>
  <si>
    <t xml:space="preserve">     FT--Mark</t>
  </si>
  <si>
    <t xml:space="preserve">     FT--Darin</t>
  </si>
  <si>
    <t>FT--TOTAL</t>
  </si>
  <si>
    <t>PT--</t>
  </si>
  <si>
    <t>TOTAL RD WAGES</t>
  </si>
  <si>
    <t>Overtime Wages</t>
  </si>
  <si>
    <t xml:space="preserve">     Mark $36.72</t>
  </si>
  <si>
    <t xml:space="preserve">     Darin  $30</t>
  </si>
  <si>
    <t>4 Yr. Avg. - $7,086</t>
  </si>
  <si>
    <t>P/T Rd Crew Hours</t>
  </si>
  <si>
    <t>Dave $21</t>
  </si>
  <si>
    <r>
      <t>Chuck $21</t>
    </r>
    <r>
      <rPr>
        <sz val="8"/>
        <color theme="1"/>
        <rFont val="Calibri"/>
        <family val="2"/>
      </rPr>
      <t xml:space="preserve"> (10/wk)</t>
    </r>
  </si>
  <si>
    <r>
      <t xml:space="preserve">Chris $18 </t>
    </r>
    <r>
      <rPr>
        <sz val="8"/>
        <color theme="1"/>
        <rFont val="Calibri"/>
        <family val="2"/>
      </rPr>
      <t>(30/season)</t>
    </r>
  </si>
  <si>
    <t>Ken $21</t>
  </si>
  <si>
    <t>Mark - ended $24.48/hr.</t>
  </si>
  <si>
    <t>FICA:  Only paid if earn more than $600/yr.</t>
  </si>
  <si>
    <t>UNRESERVED</t>
  </si>
  <si>
    <t>Balance as of Dec. 31st</t>
  </si>
  <si>
    <t>2011</t>
  </si>
  <si>
    <t>2013</t>
  </si>
  <si>
    <t>2014</t>
  </si>
  <si>
    <t>2015</t>
  </si>
  <si>
    <t>2016</t>
  </si>
  <si>
    <t>2017</t>
  </si>
  <si>
    <t>Designated for:</t>
  </si>
  <si>
    <t>Roads</t>
  </si>
  <si>
    <t>A</t>
  </si>
  <si>
    <t>Assessments</t>
  </si>
  <si>
    <t>Building Improvements</t>
  </si>
  <si>
    <t>Equipment</t>
  </si>
  <si>
    <t>Truck</t>
  </si>
  <si>
    <t>Parks</t>
  </si>
  <si>
    <t>Fire District</t>
  </si>
  <si>
    <t>EMS</t>
  </si>
  <si>
    <t>Salt Shed</t>
  </si>
  <si>
    <t>Outreach</t>
  </si>
  <si>
    <t>Cemetery</t>
  </si>
  <si>
    <t>Undesignated</t>
  </si>
  <si>
    <t>RESERVED</t>
  </si>
  <si>
    <t>Environmental (ATC)</t>
  </si>
  <si>
    <t>TIF</t>
  </si>
  <si>
    <t>As of 2017, now includes the $15,000 annual Digester Road Maintenance payment</t>
  </si>
  <si>
    <t>PAYABLE IN:</t>
  </si>
  <si>
    <t>No New Loan</t>
  </si>
  <si>
    <t>w/ $17,100 Loan</t>
  </si>
  <si>
    <t>Levy</t>
  </si>
  <si>
    <t>* Adj.</t>
  </si>
  <si>
    <t>TOTAL Levy</t>
  </si>
  <si>
    <t>*Loan payments</t>
  </si>
  <si>
    <t>GL BioGas--PILT</t>
  </si>
  <si>
    <t>100-48511</t>
  </si>
  <si>
    <t xml:space="preserve">Land County bought.  </t>
  </si>
  <si>
    <t>2018 Transfers In:</t>
  </si>
  <si>
    <t>Deputy Clrk/Treas: Health &amp; Dental</t>
  </si>
  <si>
    <t>34a</t>
  </si>
  <si>
    <t>$47,460 $ for Peterbilt ($28K ATC &amp; 17K Truck)</t>
  </si>
  <si>
    <t>2020 Proposed</t>
  </si>
  <si>
    <t>Clrk: Retirement</t>
  </si>
  <si>
    <t>Clrk: FICA</t>
  </si>
  <si>
    <t>Clrk: Wages</t>
  </si>
  <si>
    <t>Clrk: Supplies</t>
  </si>
  <si>
    <t>Clrk: Training</t>
  </si>
  <si>
    <t>Clrk: Phone/Internet</t>
  </si>
  <si>
    <t>Clrk: Website</t>
  </si>
  <si>
    <t>Public Notices</t>
  </si>
  <si>
    <t>Clrk: Miscellaneous</t>
  </si>
  <si>
    <t>Treas: Wages</t>
  </si>
  <si>
    <t>Treas: Supplies</t>
  </si>
  <si>
    <t>Treas: Bank Fees</t>
  </si>
  <si>
    <t>Bad check from Dec 2018</t>
  </si>
  <si>
    <t>Janitorial: Wages</t>
  </si>
  <si>
    <t>Janitorial: Fica</t>
  </si>
  <si>
    <t>Includes Marvin $500</t>
  </si>
  <si>
    <t>Election: FICA</t>
  </si>
  <si>
    <t>Treas: FICA</t>
  </si>
  <si>
    <t>Sanitary Service</t>
  </si>
  <si>
    <t>Janitorial: Supplies</t>
  </si>
  <si>
    <t>Town Hall Repairs</t>
  </si>
  <si>
    <t>Elections</t>
  </si>
  <si>
    <t>Fire: Sauk City Fire Dept</t>
  </si>
  <si>
    <t>Sauk Ambulance/EMS</t>
  </si>
  <si>
    <t>Building Inspections??????</t>
  </si>
  <si>
    <t xml:space="preserve">Roads: Salt </t>
  </si>
  <si>
    <t>Patrolman: Miscellaneous</t>
  </si>
  <si>
    <t>Patrolman: Cell Phone</t>
  </si>
  <si>
    <t>Patrolman: Radio Fees</t>
  </si>
  <si>
    <t>Equipment Repair</t>
  </si>
  <si>
    <t>Fuel Oil and Gas</t>
  </si>
  <si>
    <t>Town Garage Supplies</t>
  </si>
  <si>
    <t>Town Garage Garbage Pick-up</t>
  </si>
  <si>
    <t>Sand &amp; Gravel</t>
  </si>
  <si>
    <t>Cold Patch</t>
  </si>
  <si>
    <t>Road Signs</t>
  </si>
  <si>
    <t>Town Garage Natural Gas</t>
  </si>
  <si>
    <t>Town Garage Repairs</t>
  </si>
  <si>
    <t>Road Maintenance</t>
  </si>
  <si>
    <t>Snow Removal</t>
  </si>
  <si>
    <t>Tree Trimming</t>
  </si>
  <si>
    <t>Street Lighting</t>
  </si>
  <si>
    <t>? Safety</t>
  </si>
  <si>
    <t>Fish Lake Rd Temp Driveways</t>
  </si>
  <si>
    <t>Road Constuction</t>
  </si>
  <si>
    <t>Remove Engineering</t>
  </si>
  <si>
    <t>NEW BUILDING</t>
  </si>
  <si>
    <t>General Public Outlay</t>
  </si>
  <si>
    <t>General Public Outlay Other</t>
  </si>
  <si>
    <t>Paid out of Building Fund</t>
  </si>
  <si>
    <t>Principal and Interest</t>
  </si>
  <si>
    <t>Contigency Fund</t>
  </si>
  <si>
    <t>Machinery Fund</t>
  </si>
  <si>
    <t>Building Fund</t>
  </si>
  <si>
    <t>New Equipment</t>
  </si>
  <si>
    <t>Clrk: New Financial Software</t>
  </si>
  <si>
    <t>Safety?</t>
  </si>
  <si>
    <t>Driveway Permits</t>
  </si>
  <si>
    <t>Driveway Bonds</t>
  </si>
  <si>
    <t>Recycling Collection/Tax Roll</t>
  </si>
  <si>
    <t>? Dec 2018</t>
  </si>
  <si>
    <t>Public Donations</t>
  </si>
  <si>
    <t>Community Center Rental Fees</t>
  </si>
  <si>
    <t>2019 Budget          YE est.</t>
  </si>
  <si>
    <t>Proposed 2020 Budget</t>
  </si>
  <si>
    <t>Notice is hereby given that the Town Board will meet immediately following the special meeting for the purpose of acting on the 2020 budget.</t>
  </si>
  <si>
    <t>Grand Total Expenditures</t>
  </si>
  <si>
    <t>Lisa Meinholz-Town Clerk</t>
  </si>
  <si>
    <t>LRIP - Inama</t>
  </si>
  <si>
    <r>
      <t xml:space="preserve">Notice is hereby given </t>
    </r>
    <r>
      <rPr>
        <sz val="9.5"/>
        <color theme="1"/>
        <rFont val="Arial"/>
        <family val="2"/>
      </rPr>
      <t>that on Monday</t>
    </r>
    <r>
      <rPr>
        <b/>
        <sz val="9.5"/>
        <color theme="1"/>
        <rFont val="Arial"/>
        <family val="2"/>
      </rPr>
      <t>, November 18, 2019 at 7:00 p.m.</t>
    </r>
    <r>
      <rPr>
        <sz val="9.5"/>
        <color theme="1"/>
        <rFont val="Arial"/>
        <family val="2"/>
      </rPr>
      <t xml:space="preserve"> at the Roxbury Town Hall, 7167 Kippley Rd, Sauk City WI 53583, a </t>
    </r>
    <r>
      <rPr>
        <b/>
        <sz val="9.5"/>
        <color theme="1"/>
        <rFont val="Arial"/>
        <family val="2"/>
      </rPr>
      <t>Public Hearing</t>
    </r>
    <r>
      <rPr>
        <sz val="9.5"/>
        <color theme="1"/>
        <rFont val="Arial"/>
        <family val="2"/>
      </rPr>
      <t xml:space="preserve"> on the proposed 2020 budget will be held for the Town of Roxbury. A detailed copy of the proposed budget is available for inspection by contacting the Town Clerk at 608-643-8281.</t>
    </r>
  </si>
  <si>
    <t>DUE TO RECENT LAW CHANGE, THE PREVIOUS NOTICED SPECIAL TOWN MEETING OF ELECTORS ON THE 2020 HIGHWAY MAINTENANCE AND IMPROVEMENT EXPENDITURES IS NOT REQUIRED AND WILL NOT BE HELD</t>
  </si>
  <si>
    <t>AMENDED 11/8/2019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</si>
</sst>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164" formatCode="#,##0&quot; &quot;;&quot; (&quot;#,##0&quot;)&quot;;&quot; -&quot;#&quot; &quot;;@&quot; &quot;"/>
    <numFmt numFmtId="165" formatCode="[$-409]0"/>
    <numFmt numFmtId="166" formatCode="[$-409]#,##0"/>
    <numFmt numFmtId="167" formatCode="#,##0&quot; &quot;;&quot;(&quot;#,##0&quot;)&quot;"/>
    <numFmt numFmtId="168" formatCode="[$$-409]#,##0.00;[Red]&quot;-&quot;[$$-409]#,##0.00"/>
    <numFmt numFmtId="169" formatCode="&quot;$&quot;#,##0"/>
    <numFmt numFmtId="170" formatCode="#,##0;[Red]#,##0"/>
    <numFmt numFmtId="171" formatCode="0.0%"/>
    <numFmt numFmtId="172" formatCode="[$-409]0.00"/>
    <numFmt numFmtId="173" formatCode="[$-409]#,##0.00"/>
    <numFmt numFmtId="174" formatCode="#,##0.00&quot; &quot;;&quot; (&quot;#,##0.00&quot;)&quot;;&quot; -&quot;#&quot; &quot;;@&quot; &quot;"/>
    <numFmt numFmtId="175" formatCode="&quot; $&quot;#,##0.00&quot; &quot;;&quot; $(&quot;#,##0.00&quot;)&quot;;&quot; $-&quot;#&quot; &quot;;@&quot; &quot;"/>
    <numFmt numFmtId="176" formatCode="[$-409]General"/>
  </numFmts>
  <fonts count="4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DYMO Symbols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6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DYMO Symbols"/>
      <family val="2"/>
    </font>
    <font>
      <b/>
      <sz val="11"/>
      <color rgb="FF000000"/>
      <name val="Arial"/>
      <family val="2"/>
    </font>
    <font>
      <b/>
      <sz val="10"/>
      <color rgb="FFFF0000"/>
      <name val="Calibri"/>
      <family val="2"/>
    </font>
    <font>
      <u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rgb="FF000000"/>
      <name val="Calibri"/>
      <family val="2"/>
    </font>
    <font>
      <b/>
      <sz val="9"/>
      <color theme="1"/>
      <name val="Calibri"/>
      <family val="2"/>
    </font>
    <font>
      <b/>
      <u/>
      <sz val="11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Times New Roman"/>
      <family val="1"/>
    </font>
    <font>
      <sz val="9.5"/>
      <color rgb="FF000000"/>
      <name val="Arial"/>
      <family val="2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8">
    <xf numFmtId="0" fontId="0" fillId="0" borderId="0"/>
    <xf numFmtId="176" fontId="2" fillId="0" borderId="0">
      <alignment horizontal="center"/>
    </xf>
    <xf numFmtId="174" fontId="1" fillId="0" borderId="0"/>
    <xf numFmtId="175" fontId="1" fillId="0" borderId="0"/>
    <xf numFmtId="0" fontId="2" fillId="0" borderId="0">
      <alignment horizontal="center"/>
    </xf>
    <xf numFmtId="176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>
      <alignment horizontal="center" textRotation="90"/>
    </xf>
    <xf numFmtId="176" fontId="2" fillId="0" borderId="0">
      <alignment horizontal="center" textRotation="90"/>
    </xf>
    <xf numFmtId="0" fontId="1" fillId="0" borderId="0"/>
    <xf numFmtId="0" fontId="4" fillId="0" borderId="0"/>
    <xf numFmtId="0" fontId="5" fillId="0" borderId="0"/>
    <xf numFmtId="176" fontId="5" fillId="0" borderId="0"/>
    <xf numFmtId="168" fontId="4" fillId="0" borderId="0"/>
    <xf numFmtId="168" fontId="5" fillId="0" borderId="0"/>
    <xf numFmtId="168" fontId="5" fillId="0" borderId="0"/>
    <xf numFmtId="0" fontId="48" fillId="6" borderId="0" applyNumberFormat="0" applyBorder="0" applyAlignment="0" applyProtection="0"/>
  </cellStyleXfs>
  <cellXfs count="804">
    <xf numFmtId="0" fontId="0" fillId="0" borderId="0" xfId="0"/>
    <xf numFmtId="0" fontId="6" fillId="0" borderId="0" xfId="0" applyFont="1" applyFill="1" applyBorder="1" applyAlignment="1">
      <alignment horizontal="center"/>
    </xf>
    <xf numFmtId="176" fontId="7" fillId="0" borderId="0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176" fontId="9" fillId="0" borderId="0" xfId="5" applyFont="1" applyFill="1" applyBorder="1" applyAlignment="1">
      <alignment horizontal="center"/>
    </xf>
    <xf numFmtId="176" fontId="9" fillId="0" borderId="1" xfId="5" applyFont="1" applyFill="1" applyBorder="1"/>
    <xf numFmtId="0" fontId="6" fillId="0" borderId="0" xfId="0" applyFont="1" applyFill="1" applyBorder="1" applyAlignment="1">
      <alignment horizontal="center" vertical="center"/>
    </xf>
    <xf numFmtId="176" fontId="9" fillId="0" borderId="5" xfId="5" applyFont="1" applyFill="1" applyBorder="1" applyAlignment="1">
      <alignment vertical="center"/>
    </xf>
    <xf numFmtId="176" fontId="9" fillId="0" borderId="0" xfId="5" applyFont="1" applyFill="1" applyBorder="1" applyAlignment="1">
      <alignment vertical="center"/>
    </xf>
    <xf numFmtId="176" fontId="9" fillId="0" borderId="6" xfId="5" applyFont="1" applyFill="1" applyBorder="1" applyAlignment="1">
      <alignment horizontal="center" vertical="center" wrapText="1"/>
    </xf>
    <xf numFmtId="176" fontId="9" fillId="0" borderId="7" xfId="5" applyFont="1" applyFill="1" applyBorder="1" applyAlignment="1">
      <alignment horizontal="center" vertical="center" wrapText="1"/>
    </xf>
    <xf numFmtId="176" fontId="9" fillId="0" borderId="8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2" borderId="2" xfId="5" applyFont="1" applyFill="1" applyBorder="1" applyAlignment="1">
      <alignment vertical="center"/>
    </xf>
    <xf numFmtId="176" fontId="9" fillId="2" borderId="10" xfId="5" applyFont="1" applyFill="1" applyBorder="1" applyAlignment="1">
      <alignment vertical="center"/>
    </xf>
    <xf numFmtId="176" fontId="9" fillId="2" borderId="11" xfId="5" applyFont="1" applyFill="1" applyBorder="1" applyAlignment="1">
      <alignment vertical="center"/>
    </xf>
    <xf numFmtId="176" fontId="9" fillId="2" borderId="12" xfId="5" applyFont="1" applyFill="1" applyBorder="1" applyAlignment="1">
      <alignment vertical="center"/>
    </xf>
    <xf numFmtId="164" fontId="9" fillId="2" borderId="13" xfId="2" applyNumberFormat="1" applyFont="1" applyFill="1" applyBorder="1" applyAlignment="1" applyProtection="1">
      <alignment vertical="center"/>
    </xf>
    <xf numFmtId="164" fontId="9" fillId="2" borderId="14" xfId="2" applyNumberFormat="1" applyFont="1" applyFill="1" applyBorder="1" applyAlignment="1" applyProtection="1">
      <alignment vertical="center"/>
    </xf>
    <xf numFmtId="3" fontId="9" fillId="2" borderId="13" xfId="2" applyNumberFormat="1" applyFont="1" applyFill="1" applyBorder="1" applyAlignment="1" applyProtection="1">
      <alignment horizontal="center" vertical="center"/>
    </xf>
    <xf numFmtId="3" fontId="9" fillId="2" borderId="16" xfId="2" applyNumberFormat="1" applyFont="1" applyFill="1" applyBorder="1" applyAlignment="1" applyProtection="1">
      <alignment horizontal="center" vertical="center"/>
    </xf>
    <xf numFmtId="176" fontId="9" fillId="0" borderId="17" xfId="5" applyFont="1" applyFill="1" applyBorder="1" applyAlignment="1">
      <alignment vertical="center"/>
    </xf>
    <xf numFmtId="176" fontId="9" fillId="0" borderId="10" xfId="5" applyFont="1" applyFill="1" applyBorder="1" applyAlignment="1">
      <alignment vertical="center"/>
    </xf>
    <xf numFmtId="176" fontId="9" fillId="0" borderId="11" xfId="5" applyFont="1" applyFill="1" applyBorder="1" applyAlignment="1">
      <alignment vertical="center"/>
    </xf>
    <xf numFmtId="176" fontId="9" fillId="0" borderId="12" xfId="5" applyFont="1" applyFill="1" applyBorder="1" applyAlignment="1">
      <alignment vertical="center"/>
    </xf>
    <xf numFmtId="164" fontId="9" fillId="0" borderId="18" xfId="2" applyNumberFormat="1" applyFont="1" applyFill="1" applyBorder="1" applyAlignment="1" applyProtection="1">
      <alignment vertical="center"/>
    </xf>
    <xf numFmtId="164" fontId="9" fillId="0" borderId="19" xfId="2" applyNumberFormat="1" applyFont="1" applyFill="1" applyBorder="1" applyAlignment="1" applyProtection="1">
      <alignment vertical="center"/>
    </xf>
    <xf numFmtId="3" fontId="9" fillId="0" borderId="20" xfId="2" applyNumberFormat="1" applyFont="1" applyFill="1" applyBorder="1" applyAlignment="1" applyProtection="1">
      <alignment horizontal="center" vertical="center"/>
    </xf>
    <xf numFmtId="3" fontId="9" fillId="0" borderId="21" xfId="2" applyNumberFormat="1" applyFont="1" applyFill="1" applyBorder="1" applyAlignment="1" applyProtection="1">
      <alignment horizontal="center" vertical="center"/>
    </xf>
    <xf numFmtId="176" fontId="9" fillId="2" borderId="17" xfId="5" applyFont="1" applyFill="1" applyBorder="1" applyAlignment="1">
      <alignment vertical="center"/>
    </xf>
    <xf numFmtId="164" fontId="9" fillId="2" borderId="18" xfId="2" applyNumberFormat="1" applyFont="1" applyFill="1" applyBorder="1" applyAlignment="1" applyProtection="1">
      <alignment vertical="center"/>
    </xf>
    <xf numFmtId="164" fontId="9" fillId="2" borderId="19" xfId="2" applyNumberFormat="1" applyFont="1" applyFill="1" applyBorder="1" applyAlignment="1" applyProtection="1">
      <alignment vertical="center"/>
    </xf>
    <xf numFmtId="3" fontId="9" fillId="2" borderId="18" xfId="2" applyNumberFormat="1" applyFont="1" applyFill="1" applyBorder="1" applyAlignment="1" applyProtection="1">
      <alignment horizontal="center" vertical="center"/>
    </xf>
    <xf numFmtId="176" fontId="9" fillId="0" borderId="22" xfId="5" applyFont="1" applyFill="1" applyBorder="1" applyAlignment="1">
      <alignment vertical="center"/>
    </xf>
    <xf numFmtId="164" fontId="9" fillId="0" borderId="23" xfId="2" applyNumberFormat="1" applyFont="1" applyFill="1" applyBorder="1" applyAlignment="1" applyProtection="1">
      <alignment vertical="center"/>
    </xf>
    <xf numFmtId="164" fontId="9" fillId="0" borderId="24" xfId="2" applyNumberFormat="1" applyFont="1" applyFill="1" applyBorder="1" applyAlignment="1" applyProtection="1">
      <alignment vertical="center"/>
    </xf>
    <xf numFmtId="3" fontId="9" fillId="0" borderId="6" xfId="2" applyNumberFormat="1" applyFont="1" applyFill="1" applyBorder="1" applyAlignment="1" applyProtection="1">
      <alignment horizontal="center" vertical="center"/>
    </xf>
    <xf numFmtId="3" fontId="9" fillId="0" borderId="26" xfId="2" applyNumberFormat="1" applyFont="1" applyFill="1" applyBorder="1" applyAlignment="1" applyProtection="1">
      <alignment horizontal="center" vertical="center"/>
    </xf>
    <xf numFmtId="176" fontId="9" fillId="0" borderId="27" xfId="5" applyFont="1" applyFill="1" applyBorder="1" applyAlignment="1">
      <alignment vertical="center"/>
    </xf>
    <xf numFmtId="176" fontId="12" fillId="0" borderId="28" xfId="5" applyFont="1" applyFill="1" applyBorder="1" applyAlignment="1">
      <alignment horizontal="right" vertical="center"/>
    </xf>
    <xf numFmtId="176" fontId="12" fillId="0" borderId="0" xfId="5" applyFont="1" applyFill="1" applyBorder="1" applyAlignment="1">
      <alignment horizontal="right" vertical="center"/>
    </xf>
    <xf numFmtId="164" fontId="12" fillId="0" borderId="29" xfId="2" applyNumberFormat="1" applyFont="1" applyFill="1" applyBorder="1" applyAlignment="1" applyProtection="1">
      <alignment vertical="center"/>
    </xf>
    <xf numFmtId="164" fontId="12" fillId="0" borderId="30" xfId="2" applyNumberFormat="1" applyFont="1" applyFill="1" applyBorder="1" applyAlignment="1" applyProtection="1">
      <alignment vertical="center"/>
    </xf>
    <xf numFmtId="164" fontId="12" fillId="0" borderId="31" xfId="2" applyNumberFormat="1" applyFont="1" applyFill="1" applyBorder="1" applyAlignment="1" applyProtection="1">
      <alignment vertical="center"/>
    </xf>
    <xf numFmtId="3" fontId="12" fillId="0" borderId="4" xfId="2" applyNumberFormat="1" applyFont="1" applyFill="1" applyBorder="1" applyAlignment="1" applyProtection="1">
      <alignment horizontal="center" vertical="center"/>
    </xf>
    <xf numFmtId="176" fontId="9" fillId="0" borderId="0" xfId="5" applyFont="1" applyFill="1" applyBorder="1"/>
    <xf numFmtId="164" fontId="9" fillId="0" borderId="0" xfId="5" applyNumberFormat="1" applyFont="1" applyFill="1" applyBorder="1"/>
    <xf numFmtId="3" fontId="9" fillId="0" borderId="0" xfId="5" applyNumberFormat="1" applyFont="1" applyFill="1" applyBorder="1" applyAlignment="1">
      <alignment horizontal="center"/>
    </xf>
    <xf numFmtId="176" fontId="9" fillId="0" borderId="1" xfId="5" applyFont="1" applyFill="1" applyBorder="1" applyAlignment="1">
      <alignment vertical="center"/>
    </xf>
    <xf numFmtId="3" fontId="9" fillId="0" borderId="23" xfId="2" applyNumberFormat="1" applyFont="1" applyFill="1" applyBorder="1" applyAlignment="1" applyProtection="1">
      <alignment horizontal="center" vertical="center"/>
    </xf>
    <xf numFmtId="3" fontId="9" fillId="2" borderId="17" xfId="2" applyNumberFormat="1" applyFont="1" applyFill="1" applyBorder="1" applyAlignment="1" applyProtection="1">
      <alignment horizontal="center" vertical="center"/>
    </xf>
    <xf numFmtId="3" fontId="9" fillId="0" borderId="32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left" vertical="center"/>
    </xf>
    <xf numFmtId="164" fontId="10" fillId="0" borderId="19" xfId="2" applyNumberFormat="1" applyFont="1" applyFill="1" applyBorder="1" applyAlignment="1" applyProtection="1">
      <alignment vertical="center"/>
    </xf>
    <xf numFmtId="3" fontId="9" fillId="0" borderId="17" xfId="2" applyNumberFormat="1" applyFont="1" applyFill="1" applyBorder="1" applyAlignment="1" applyProtection="1">
      <alignment horizontal="center" vertical="center"/>
    </xf>
    <xf numFmtId="176" fontId="9" fillId="0" borderId="26" xfId="5" applyFont="1" applyFill="1" applyBorder="1" applyAlignment="1">
      <alignment vertical="center"/>
    </xf>
    <xf numFmtId="176" fontId="9" fillId="0" borderId="25" xfId="5" applyFont="1" applyFill="1" applyBorder="1" applyAlignment="1">
      <alignment vertical="center"/>
    </xf>
    <xf numFmtId="164" fontId="9" fillId="0" borderId="6" xfId="2" applyNumberFormat="1" applyFont="1" applyFill="1" applyBorder="1" applyAlignment="1" applyProtection="1">
      <alignment vertical="center"/>
    </xf>
    <xf numFmtId="164" fontId="9" fillId="0" borderId="7" xfId="2" applyNumberFormat="1" applyFont="1" applyFill="1" applyBorder="1" applyAlignment="1" applyProtection="1">
      <alignment vertical="center"/>
    </xf>
    <xf numFmtId="3" fontId="9" fillId="0" borderId="6" xfId="5" applyNumberFormat="1" applyFont="1" applyFill="1" applyBorder="1" applyAlignment="1">
      <alignment horizontal="center" vertical="center"/>
    </xf>
    <xf numFmtId="3" fontId="11" fillId="0" borderId="22" xfId="5" applyNumberFormat="1" applyFont="1" applyFill="1" applyBorder="1" applyAlignment="1">
      <alignment horizontal="center" vertical="center"/>
    </xf>
    <xf numFmtId="176" fontId="12" fillId="0" borderId="0" xfId="5" applyFont="1" applyFill="1" applyBorder="1" applyAlignment="1">
      <alignment horizontal="right"/>
    </xf>
    <xf numFmtId="164" fontId="12" fillId="0" borderId="0" xfId="2" applyNumberFormat="1" applyFont="1" applyFill="1" applyBorder="1" applyAlignment="1" applyProtection="1"/>
    <xf numFmtId="176" fontId="9" fillId="0" borderId="23" xfId="5" applyFont="1" applyFill="1" applyBorder="1" applyAlignment="1">
      <alignment horizontal="center" vertical="center" wrapText="1"/>
    </xf>
    <xf numFmtId="176" fontId="9" fillId="0" borderId="24" xfId="5" applyFont="1" applyFill="1" applyBorder="1" applyAlignment="1">
      <alignment horizontal="center" vertical="center" wrapText="1"/>
    </xf>
    <xf numFmtId="164" fontId="9" fillId="2" borderId="12" xfId="2" applyNumberFormat="1" applyFont="1" applyFill="1" applyBorder="1" applyAlignment="1" applyProtection="1">
      <alignment vertical="center"/>
    </xf>
    <xf numFmtId="3" fontId="9" fillId="2" borderId="15" xfId="2" applyNumberFormat="1" applyFont="1" applyFill="1" applyBorder="1" applyAlignment="1" applyProtection="1">
      <alignment horizontal="center" vertical="center"/>
    </xf>
    <xf numFmtId="164" fontId="9" fillId="0" borderId="12" xfId="2" applyNumberFormat="1" applyFont="1" applyFill="1" applyBorder="1" applyAlignment="1" applyProtection="1">
      <alignment vertical="center"/>
    </xf>
    <xf numFmtId="3" fontId="9" fillId="0" borderId="10" xfId="2" applyNumberFormat="1" applyFont="1" applyFill="1" applyBorder="1" applyAlignment="1" applyProtection="1">
      <alignment horizontal="center" vertical="center"/>
    </xf>
    <xf numFmtId="3" fontId="9" fillId="2" borderId="10" xfId="2" applyNumberFormat="1" applyFont="1" applyFill="1" applyBorder="1" applyAlignment="1" applyProtection="1">
      <alignment horizontal="center" vertical="center"/>
    </xf>
    <xf numFmtId="3" fontId="9" fillId="0" borderId="10" xfId="5" applyNumberFormat="1" applyFont="1" applyFill="1" applyBorder="1" applyAlignment="1">
      <alignment horizontal="center" vertical="center"/>
    </xf>
    <xf numFmtId="3" fontId="9" fillId="2" borderId="34" xfId="5" applyNumberFormat="1" applyFont="1" applyFill="1" applyBorder="1" applyAlignment="1">
      <alignment horizontal="center" vertical="center"/>
    </xf>
    <xf numFmtId="164" fontId="9" fillId="0" borderId="35" xfId="2" applyNumberFormat="1" applyFont="1" applyFill="1" applyBorder="1" applyAlignment="1" applyProtection="1">
      <alignment vertical="center"/>
    </xf>
    <xf numFmtId="176" fontId="9" fillId="2" borderId="5" xfId="5" applyFont="1" applyFill="1" applyBorder="1" applyAlignment="1">
      <alignment vertical="center"/>
    </xf>
    <xf numFmtId="176" fontId="9" fillId="2" borderId="0" xfId="5" applyFont="1" applyFill="1" applyBorder="1" applyAlignment="1">
      <alignment vertical="center"/>
    </xf>
    <xf numFmtId="164" fontId="9" fillId="2" borderId="36" xfId="2" applyNumberFormat="1" applyFont="1" applyFill="1" applyBorder="1" applyAlignment="1" applyProtection="1">
      <alignment vertical="center"/>
    </xf>
    <xf numFmtId="164" fontId="9" fillId="2" borderId="37" xfId="2" applyNumberFormat="1" applyFont="1" applyFill="1" applyBorder="1" applyAlignment="1" applyProtection="1">
      <alignment vertical="center"/>
    </xf>
    <xf numFmtId="164" fontId="9" fillId="2" borderId="34" xfId="2" applyNumberFormat="1" applyFont="1" applyFill="1" applyBorder="1" applyAlignment="1" applyProtection="1">
      <alignment vertical="center"/>
    </xf>
    <xf numFmtId="164" fontId="9" fillId="2" borderId="38" xfId="2" applyNumberFormat="1" applyFont="1" applyFill="1" applyBorder="1" applyAlignment="1" applyProtection="1">
      <alignment vertical="center"/>
    </xf>
    <xf numFmtId="164" fontId="9" fillId="2" borderId="6" xfId="2" applyNumberFormat="1" applyFont="1" applyFill="1" applyBorder="1" applyAlignment="1" applyProtection="1">
      <alignment vertical="center"/>
    </xf>
    <xf numFmtId="164" fontId="9" fillId="2" borderId="39" xfId="2" applyNumberFormat="1" applyFont="1" applyFill="1" applyBorder="1" applyAlignment="1" applyProtection="1">
      <alignment vertical="center"/>
    </xf>
    <xf numFmtId="3" fontId="9" fillId="2" borderId="40" xfId="2" applyNumberFormat="1" applyFont="1" applyFill="1" applyBorder="1" applyAlignment="1" applyProtection="1">
      <alignment horizontal="center" vertical="center"/>
    </xf>
    <xf numFmtId="164" fontId="9" fillId="2" borderId="8" xfId="2" applyNumberFormat="1" applyFont="1" applyFill="1" applyBorder="1" applyAlignment="1" applyProtection="1">
      <alignment vertical="center"/>
    </xf>
    <xf numFmtId="164" fontId="12" fillId="0" borderId="41" xfId="2" applyNumberFormat="1" applyFont="1" applyFill="1" applyBorder="1" applyAlignment="1" applyProtection="1">
      <alignment vertical="center"/>
    </xf>
    <xf numFmtId="164" fontId="12" fillId="0" borderId="42" xfId="2" applyNumberFormat="1" applyFont="1" applyFill="1" applyBorder="1" applyAlignment="1" applyProtection="1">
      <alignment vertical="center"/>
    </xf>
    <xf numFmtId="164" fontId="12" fillId="0" borderId="37" xfId="2" applyNumberFormat="1" applyFont="1" applyFill="1" applyBorder="1" applyAlignment="1" applyProtection="1">
      <alignment vertical="center"/>
    </xf>
    <xf numFmtId="3" fontId="9" fillId="0" borderId="36" xfId="2" applyNumberFormat="1" applyFont="1" applyFill="1" applyBorder="1" applyAlignment="1" applyProtection="1">
      <alignment horizontal="center" vertical="center"/>
    </xf>
    <xf numFmtId="3" fontId="12" fillId="0" borderId="28" xfId="2" applyNumberFormat="1" applyFont="1" applyFill="1" applyBorder="1" applyAlignment="1" applyProtection="1">
      <alignment horizontal="center" vertical="center"/>
    </xf>
    <xf numFmtId="176" fontId="9" fillId="0" borderId="44" xfId="5" applyFont="1" applyFill="1" applyBorder="1" applyAlignment="1">
      <alignment vertical="center"/>
    </xf>
    <xf numFmtId="176" fontId="9" fillId="0" borderId="46" xfId="5" applyFont="1" applyFill="1" applyBorder="1" applyAlignment="1">
      <alignment vertical="center"/>
    </xf>
    <xf numFmtId="3" fontId="9" fillId="2" borderId="2" xfId="2" applyNumberFormat="1" applyFont="1" applyFill="1" applyBorder="1" applyAlignment="1" applyProtection="1">
      <alignment horizontal="center" vertical="center"/>
    </xf>
    <xf numFmtId="3" fontId="9" fillId="0" borderId="18" xfId="5" applyNumberFormat="1" applyFont="1" applyFill="1" applyBorder="1" applyAlignment="1">
      <alignment horizontal="center" vertical="center"/>
    </xf>
    <xf numFmtId="3" fontId="9" fillId="0" borderId="17" xfId="5" applyNumberFormat="1" applyFont="1" applyFill="1" applyBorder="1" applyAlignment="1">
      <alignment horizontal="center" vertical="center"/>
    </xf>
    <xf numFmtId="164" fontId="10" fillId="0" borderId="18" xfId="2" applyNumberFormat="1" applyFont="1" applyFill="1" applyBorder="1" applyAlignment="1" applyProtection="1">
      <alignment vertical="center"/>
    </xf>
    <xf numFmtId="164" fontId="10" fillId="2" borderId="18" xfId="2" applyNumberFormat="1" applyFont="1" applyFill="1" applyBorder="1" applyAlignment="1" applyProtection="1">
      <alignment vertical="center"/>
    </xf>
    <xf numFmtId="3" fontId="9" fillId="2" borderId="23" xfId="2" applyNumberFormat="1" applyFont="1" applyFill="1" applyBorder="1" applyAlignment="1" applyProtection="1">
      <alignment horizontal="center" vertical="center"/>
    </xf>
    <xf numFmtId="3" fontId="9" fillId="2" borderId="26" xfId="2" applyNumberFormat="1" applyFont="1" applyFill="1" applyBorder="1" applyAlignment="1" applyProtection="1">
      <alignment horizontal="center" vertical="center"/>
    </xf>
    <xf numFmtId="164" fontId="12" fillId="0" borderId="29" xfId="5" applyNumberFormat="1" applyFont="1" applyFill="1" applyBorder="1" applyAlignment="1">
      <alignment vertical="center"/>
    </xf>
    <xf numFmtId="164" fontId="12" fillId="0" borderId="27" xfId="5" applyNumberFormat="1" applyFont="1" applyFill="1" applyBorder="1" applyAlignment="1">
      <alignment vertical="center"/>
    </xf>
    <xf numFmtId="164" fontId="12" fillId="0" borderId="41" xfId="5" applyNumberFormat="1" applyFont="1" applyFill="1" applyBorder="1" applyAlignment="1">
      <alignment vertical="center"/>
    </xf>
    <xf numFmtId="164" fontId="12" fillId="0" borderId="47" xfId="5" applyNumberFormat="1" applyFont="1" applyFill="1" applyBorder="1" applyAlignment="1">
      <alignment vertical="center"/>
    </xf>
    <xf numFmtId="3" fontId="12" fillId="0" borderId="4" xfId="5" applyNumberFormat="1" applyFont="1" applyFill="1" applyBorder="1" applyAlignment="1">
      <alignment horizontal="center" vertical="center"/>
    </xf>
    <xf numFmtId="176" fontId="11" fillId="0" borderId="0" xfId="5" applyFont="1" applyFill="1" applyBorder="1"/>
    <xf numFmtId="164" fontId="9" fillId="0" borderId="0" xfId="2" applyNumberFormat="1" applyFont="1" applyFill="1" applyBorder="1" applyAlignment="1" applyProtection="1"/>
    <xf numFmtId="3" fontId="9" fillId="0" borderId="0" xfId="2" applyNumberFormat="1" applyFont="1" applyFill="1" applyBorder="1" applyAlignment="1" applyProtection="1">
      <alignment horizontal="center"/>
    </xf>
    <xf numFmtId="176" fontId="12" fillId="0" borderId="0" xfId="5" applyFont="1" applyFill="1" applyBorder="1" applyAlignment="1">
      <alignment horizontal="left"/>
    </xf>
    <xf numFmtId="164" fontId="12" fillId="0" borderId="4" xfId="5" applyNumberFormat="1" applyFont="1" applyFill="1" applyBorder="1"/>
    <xf numFmtId="164" fontId="12" fillId="0" borderId="28" xfId="5" applyNumberFormat="1" applyFont="1" applyFill="1" applyBorder="1"/>
    <xf numFmtId="164" fontId="12" fillId="0" borderId="29" xfId="5" applyNumberFormat="1" applyFont="1" applyFill="1" applyBorder="1"/>
    <xf numFmtId="164" fontId="12" fillId="0" borderId="27" xfId="5" applyNumberFormat="1" applyFont="1" applyFill="1" applyBorder="1"/>
    <xf numFmtId="3" fontId="12" fillId="0" borderId="4" xfId="5" applyNumberFormat="1" applyFont="1" applyFill="1" applyBorder="1" applyAlignment="1">
      <alignment horizontal="center"/>
    </xf>
    <xf numFmtId="176" fontId="9" fillId="0" borderId="35" xfId="5" applyFont="1" applyFill="1" applyBorder="1" applyAlignment="1">
      <alignment horizontal="center" vertical="center" wrapText="1"/>
    </xf>
    <xf numFmtId="176" fontId="9" fillId="2" borderId="1" xfId="5" applyFont="1" applyFill="1" applyBorder="1" applyAlignment="1">
      <alignment vertical="center"/>
    </xf>
    <xf numFmtId="176" fontId="9" fillId="2" borderId="0" xfId="5" applyFont="1" applyFill="1" applyBorder="1" applyAlignment="1">
      <alignment horizontal="right"/>
    </xf>
    <xf numFmtId="164" fontId="9" fillId="2" borderId="0" xfId="2" applyNumberFormat="1" applyFont="1" applyFill="1" applyBorder="1" applyAlignment="1" applyProtection="1"/>
    <xf numFmtId="164" fontId="9" fillId="2" borderId="13" xfId="2" applyNumberFormat="1" applyFont="1" applyFill="1" applyBorder="1" applyAlignment="1" applyProtection="1"/>
    <xf numFmtId="164" fontId="9" fillId="2" borderId="48" xfId="2" applyNumberFormat="1" applyFont="1" applyFill="1" applyBorder="1" applyAlignment="1" applyProtection="1"/>
    <xf numFmtId="164" fontId="9" fillId="2" borderId="3" xfId="2" applyNumberFormat="1" applyFont="1" applyFill="1" applyBorder="1" applyAlignment="1" applyProtection="1"/>
    <xf numFmtId="164" fontId="9" fillId="2" borderId="14" xfId="2" applyNumberFormat="1" applyFont="1" applyFill="1" applyBorder="1" applyAlignment="1" applyProtection="1"/>
    <xf numFmtId="3" fontId="9" fillId="2" borderId="15" xfId="2" applyNumberFormat="1" applyFont="1" applyFill="1" applyBorder="1" applyAlignment="1" applyProtection="1">
      <alignment horizontal="center"/>
    </xf>
    <xf numFmtId="164" fontId="9" fillId="2" borderId="50" xfId="2" applyNumberFormat="1" applyFont="1" applyFill="1" applyBorder="1" applyAlignment="1" applyProtection="1"/>
    <xf numFmtId="176" fontId="9" fillId="0" borderId="21" xfId="5" applyFont="1" applyFill="1" applyBorder="1" applyAlignment="1">
      <alignment vertical="center"/>
    </xf>
    <xf numFmtId="176" fontId="9" fillId="0" borderId="0" xfId="5" applyFont="1" applyFill="1" applyBorder="1" applyAlignment="1">
      <alignment horizontal="right"/>
    </xf>
    <xf numFmtId="164" fontId="9" fillId="0" borderId="36" xfId="2" applyNumberFormat="1" applyFont="1" applyFill="1" applyBorder="1" applyAlignment="1" applyProtection="1"/>
    <xf numFmtId="164" fontId="9" fillId="0" borderId="51" xfId="2" applyNumberFormat="1" applyFont="1" applyFill="1" applyBorder="1" applyAlignment="1" applyProtection="1"/>
    <xf numFmtId="164" fontId="10" fillId="0" borderId="0" xfId="2" applyNumberFormat="1" applyFont="1" applyFill="1" applyBorder="1" applyAlignment="1" applyProtection="1"/>
    <xf numFmtId="166" fontId="9" fillId="0" borderId="52" xfId="5" applyNumberFormat="1" applyFont="1" applyFill="1" applyBorder="1"/>
    <xf numFmtId="3" fontId="9" fillId="0" borderId="53" xfId="2" applyNumberFormat="1" applyFont="1" applyFill="1" applyBorder="1" applyAlignment="1" applyProtection="1">
      <alignment horizontal="center" vertical="center"/>
    </xf>
    <xf numFmtId="176" fontId="12" fillId="0" borderId="27" xfId="5" applyFont="1" applyFill="1" applyBorder="1" applyAlignment="1">
      <alignment vertical="center"/>
    </xf>
    <xf numFmtId="176" fontId="12" fillId="0" borderId="47" xfId="5" applyFont="1" applyFill="1" applyBorder="1" applyAlignment="1">
      <alignment horizontal="right" vertical="center"/>
    </xf>
    <xf numFmtId="176" fontId="12" fillId="0" borderId="47" xfId="5" applyFont="1" applyFill="1" applyBorder="1" applyAlignment="1">
      <alignment horizontal="right"/>
    </xf>
    <xf numFmtId="164" fontId="12" fillId="0" borderId="47" xfId="2" applyNumberFormat="1" applyFont="1" applyFill="1" applyBorder="1" applyAlignment="1" applyProtection="1"/>
    <xf numFmtId="164" fontId="12" fillId="0" borderId="54" xfId="2" applyNumberFormat="1" applyFont="1" applyFill="1" applyBorder="1" applyAlignment="1" applyProtection="1"/>
    <xf numFmtId="164" fontId="12" fillId="0" borderId="55" xfId="2" applyNumberFormat="1" applyFont="1" applyFill="1" applyBorder="1" applyAlignment="1" applyProtection="1"/>
    <xf numFmtId="164" fontId="12" fillId="0" borderId="29" xfId="2" applyNumberFormat="1" applyFont="1" applyFill="1" applyBorder="1" applyAlignment="1" applyProtection="1"/>
    <xf numFmtId="164" fontId="12" fillId="0" borderId="56" xfId="2" applyNumberFormat="1" applyFont="1" applyFill="1" applyBorder="1" applyAlignment="1" applyProtection="1"/>
    <xf numFmtId="164" fontId="12" fillId="0" borderId="27" xfId="2" applyNumberFormat="1" applyFont="1" applyFill="1" applyBorder="1" applyAlignment="1" applyProtection="1"/>
    <xf numFmtId="164" fontId="12" fillId="0" borderId="41" xfId="2" applyNumberFormat="1" applyFont="1" applyFill="1" applyBorder="1" applyAlignment="1" applyProtection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3" fontId="12" fillId="0" borderId="0" xfId="2" applyNumberFormat="1" applyFont="1" applyFill="1" applyBorder="1" applyAlignment="1" applyProtection="1">
      <alignment horizontal="center"/>
    </xf>
    <xf numFmtId="164" fontId="12" fillId="0" borderId="41" xfId="5" applyNumberFormat="1" applyFont="1" applyFill="1" applyBorder="1"/>
    <xf numFmtId="164" fontId="12" fillId="0" borderId="4" xfId="5" applyNumberFormat="1" applyFont="1" applyFill="1" applyBorder="1" applyAlignment="1">
      <alignment horizontal="center"/>
    </xf>
    <xf numFmtId="176" fontId="9" fillId="0" borderId="40" xfId="5" applyFont="1" applyFill="1" applyBorder="1" applyAlignment="1">
      <alignment vertical="center"/>
    </xf>
    <xf numFmtId="176" fontId="9" fillId="2" borderId="16" xfId="5" applyFont="1" applyFill="1" applyBorder="1" applyAlignment="1">
      <alignment vertical="center"/>
    </xf>
    <xf numFmtId="176" fontId="9" fillId="2" borderId="58" xfId="5" applyFont="1" applyFill="1" applyBorder="1" applyAlignment="1">
      <alignment vertical="center"/>
    </xf>
    <xf numFmtId="176" fontId="9" fillId="2" borderId="59" xfId="5" applyFont="1" applyFill="1" applyBorder="1" applyAlignment="1">
      <alignment vertical="center"/>
    </xf>
    <xf numFmtId="176" fontId="9" fillId="2" borderId="60" xfId="5" applyFont="1" applyFill="1" applyBorder="1" applyAlignment="1">
      <alignment vertical="center"/>
    </xf>
    <xf numFmtId="164" fontId="9" fillId="2" borderId="32" xfId="2" applyNumberFormat="1" applyFont="1" applyFill="1" applyBorder="1" applyAlignment="1" applyProtection="1">
      <alignment vertical="center"/>
    </xf>
    <xf numFmtId="164" fontId="9" fillId="2" borderId="61" xfId="2" applyNumberFormat="1" applyFont="1" applyFill="1" applyBorder="1" applyAlignment="1" applyProtection="1">
      <alignment vertical="center"/>
    </xf>
    <xf numFmtId="176" fontId="9" fillId="0" borderId="62" xfId="5" applyFont="1" applyFill="1" applyBorder="1" applyAlignment="1">
      <alignment vertical="center"/>
    </xf>
    <xf numFmtId="176" fontId="9" fillId="0" borderId="63" xfId="5" applyFont="1" applyFill="1" applyBorder="1" applyAlignment="1">
      <alignment vertical="center"/>
    </xf>
    <xf numFmtId="176" fontId="9" fillId="0" borderId="64" xfId="5" applyFont="1" applyFill="1" applyBorder="1" applyAlignment="1">
      <alignment vertical="center"/>
    </xf>
    <xf numFmtId="176" fontId="9" fillId="0" borderId="65" xfId="5" applyFont="1" applyFill="1" applyBorder="1" applyAlignment="1">
      <alignment vertical="center"/>
    </xf>
    <xf numFmtId="164" fontId="9" fillId="0" borderId="66" xfId="2" applyNumberFormat="1" applyFont="1" applyFill="1" applyBorder="1" applyAlignment="1" applyProtection="1">
      <alignment vertical="center"/>
    </xf>
    <xf numFmtId="164" fontId="9" fillId="0" borderId="67" xfId="2" applyNumberFormat="1" applyFont="1" applyFill="1" applyBorder="1" applyAlignment="1" applyProtection="1">
      <alignment vertical="center"/>
    </xf>
    <xf numFmtId="3" fontId="9" fillId="0" borderId="66" xfId="2" applyNumberFormat="1" applyFont="1" applyFill="1" applyBorder="1" applyAlignment="1" applyProtection="1">
      <alignment horizontal="center" vertical="center"/>
    </xf>
    <xf numFmtId="3" fontId="9" fillId="0" borderId="62" xfId="2" applyNumberFormat="1" applyFont="1" applyFill="1" applyBorder="1" applyAlignment="1" applyProtection="1">
      <alignment horizontal="center" vertical="center"/>
    </xf>
    <xf numFmtId="176" fontId="9" fillId="2" borderId="68" xfId="5" applyFont="1" applyFill="1" applyBorder="1" applyAlignment="1">
      <alignment vertical="center"/>
    </xf>
    <xf numFmtId="176" fontId="9" fillId="2" borderId="62" xfId="5" applyFont="1" applyFill="1" applyBorder="1" applyAlignment="1">
      <alignment vertical="center"/>
    </xf>
    <xf numFmtId="176" fontId="9" fillId="2" borderId="63" xfId="5" applyFont="1" applyFill="1" applyBorder="1" applyAlignment="1">
      <alignment vertical="center"/>
    </xf>
    <xf numFmtId="176" fontId="9" fillId="2" borderId="64" xfId="5" applyFont="1" applyFill="1" applyBorder="1" applyAlignment="1">
      <alignment vertical="center"/>
    </xf>
    <xf numFmtId="176" fontId="9" fillId="2" borderId="65" xfId="5" applyFont="1" applyFill="1" applyBorder="1" applyAlignment="1">
      <alignment vertical="center"/>
    </xf>
    <xf numFmtId="164" fontId="9" fillId="2" borderId="66" xfId="2" applyNumberFormat="1" applyFont="1" applyFill="1" applyBorder="1" applyAlignment="1" applyProtection="1">
      <alignment vertical="center"/>
    </xf>
    <xf numFmtId="164" fontId="9" fillId="2" borderId="67" xfId="2" applyNumberFormat="1" applyFont="1" applyFill="1" applyBorder="1" applyAlignment="1" applyProtection="1">
      <alignment vertical="center"/>
    </xf>
    <xf numFmtId="3" fontId="9" fillId="2" borderId="20" xfId="2" applyNumberFormat="1" applyFont="1" applyFill="1" applyBorder="1" applyAlignment="1" applyProtection="1">
      <alignment horizontal="center" vertical="center"/>
    </xf>
    <xf numFmtId="3" fontId="9" fillId="2" borderId="21" xfId="2" applyNumberFormat="1" applyFont="1" applyFill="1" applyBorder="1" applyAlignment="1" applyProtection="1">
      <alignment horizontal="center" vertical="center"/>
    </xf>
    <xf numFmtId="3" fontId="9" fillId="0" borderId="69" xfId="2" applyNumberFormat="1" applyFont="1" applyFill="1" applyBorder="1" applyAlignment="1" applyProtection="1">
      <alignment horizontal="center" vertical="center"/>
    </xf>
    <xf numFmtId="3" fontId="9" fillId="0" borderId="70" xfId="2" applyNumberFormat="1" applyFont="1" applyFill="1" applyBorder="1" applyAlignment="1" applyProtection="1">
      <alignment horizontal="center" vertical="center"/>
    </xf>
    <xf numFmtId="3" fontId="9" fillId="2" borderId="32" xfId="2" applyNumberFormat="1" applyFont="1" applyFill="1" applyBorder="1" applyAlignment="1" applyProtection="1">
      <alignment horizontal="center" vertical="center"/>
    </xf>
    <xf numFmtId="164" fontId="9" fillId="0" borderId="18" xfId="5" applyNumberFormat="1" applyFont="1" applyFill="1" applyBorder="1" applyAlignment="1">
      <alignment vertical="center"/>
    </xf>
    <xf numFmtId="164" fontId="9" fillId="0" borderId="19" xfId="5" applyNumberFormat="1" applyFont="1" applyFill="1" applyBorder="1" applyAlignment="1">
      <alignment vertical="center"/>
    </xf>
    <xf numFmtId="3" fontId="9" fillId="0" borderId="32" xfId="5" applyNumberFormat="1" applyFont="1" applyFill="1" applyBorder="1" applyAlignment="1">
      <alignment horizontal="center" vertical="center"/>
    </xf>
    <xf numFmtId="3" fontId="9" fillId="0" borderId="16" xfId="5" applyNumberFormat="1" applyFont="1" applyFill="1" applyBorder="1" applyAlignment="1">
      <alignment horizontal="center" vertical="center"/>
    </xf>
    <xf numFmtId="3" fontId="9" fillId="2" borderId="66" xfId="2" applyNumberFormat="1" applyFont="1" applyFill="1" applyBorder="1" applyAlignment="1" applyProtection="1">
      <alignment horizontal="center" vertical="center"/>
    </xf>
    <xf numFmtId="3" fontId="9" fillId="2" borderId="62" xfId="2" applyNumberFormat="1" applyFont="1" applyFill="1" applyBorder="1" applyAlignment="1" applyProtection="1">
      <alignment horizontal="center" vertical="center"/>
    </xf>
    <xf numFmtId="176" fontId="9" fillId="0" borderId="16" xfId="5" applyFont="1" applyFill="1" applyBorder="1" applyAlignment="1">
      <alignment vertical="center"/>
    </xf>
    <xf numFmtId="176" fontId="9" fillId="0" borderId="58" xfId="5" applyFont="1" applyFill="1" applyBorder="1" applyAlignment="1">
      <alignment vertical="center"/>
    </xf>
    <xf numFmtId="176" fontId="9" fillId="0" borderId="59" xfId="5" applyFont="1" applyFill="1" applyBorder="1" applyAlignment="1">
      <alignment vertical="center"/>
    </xf>
    <xf numFmtId="176" fontId="9" fillId="0" borderId="60" xfId="5" applyFont="1" applyFill="1" applyBorder="1" applyAlignment="1">
      <alignment vertical="center"/>
    </xf>
    <xf numFmtId="164" fontId="9" fillId="0" borderId="32" xfId="2" applyNumberFormat="1" applyFont="1" applyFill="1" applyBorder="1" applyAlignment="1" applyProtection="1">
      <alignment vertical="center"/>
    </xf>
    <xf numFmtId="164" fontId="9" fillId="0" borderId="61" xfId="2" applyNumberFormat="1" applyFont="1" applyFill="1" applyBorder="1" applyAlignment="1" applyProtection="1">
      <alignment vertical="center"/>
    </xf>
    <xf numFmtId="3" fontId="9" fillId="0" borderId="71" xfId="2" applyNumberFormat="1" applyFont="1" applyFill="1" applyBorder="1" applyAlignment="1" applyProtection="1">
      <alignment horizontal="center" vertical="center"/>
    </xf>
    <xf numFmtId="3" fontId="9" fillId="0" borderId="16" xfId="2" applyNumberFormat="1" applyFont="1" applyFill="1" applyBorder="1" applyAlignment="1" applyProtection="1">
      <alignment horizontal="center" vertical="center"/>
    </xf>
    <xf numFmtId="164" fontId="10" fillId="2" borderId="36" xfId="2" applyNumberFormat="1" applyFont="1" applyFill="1" applyBorder="1" applyAlignment="1" applyProtection="1">
      <alignment vertical="center"/>
    </xf>
    <xf numFmtId="164" fontId="10" fillId="2" borderId="39" xfId="2" applyNumberFormat="1" applyFont="1" applyFill="1" applyBorder="1" applyAlignment="1" applyProtection="1">
      <alignment vertical="center"/>
    </xf>
    <xf numFmtId="164" fontId="12" fillId="0" borderId="28" xfId="2" applyNumberFormat="1" applyFont="1" applyFill="1" applyBorder="1" applyAlignment="1" applyProtection="1">
      <alignment vertical="center"/>
    </xf>
    <xf numFmtId="164" fontId="12" fillId="0" borderId="27" xfId="2" applyNumberFormat="1" applyFont="1" applyFill="1" applyBorder="1" applyAlignment="1" applyProtection="1">
      <alignment vertical="center"/>
    </xf>
    <xf numFmtId="164" fontId="12" fillId="0" borderId="4" xfId="2" applyNumberFormat="1" applyFont="1" applyFill="1" applyBorder="1" applyAlignment="1" applyProtection="1">
      <alignment horizontal="center" vertical="center"/>
    </xf>
    <xf numFmtId="166" fontId="9" fillId="2" borderId="13" xfId="5" applyNumberFormat="1" applyFont="1" applyFill="1" applyBorder="1" applyAlignment="1">
      <alignment vertical="center"/>
    </xf>
    <xf numFmtId="3" fontId="9" fillId="2" borderId="13" xfId="5" applyNumberFormat="1" applyFont="1" applyFill="1" applyBorder="1" applyAlignment="1">
      <alignment horizontal="center" vertical="center"/>
    </xf>
    <xf numFmtId="3" fontId="9" fillId="2" borderId="2" xfId="5" applyNumberFormat="1" applyFont="1" applyFill="1" applyBorder="1" applyAlignment="1">
      <alignment horizontal="center" vertical="center"/>
    </xf>
    <xf numFmtId="166" fontId="9" fillId="0" borderId="18" xfId="5" applyNumberFormat="1" applyFont="1" applyFill="1" applyBorder="1" applyAlignment="1">
      <alignment vertical="center"/>
    </xf>
    <xf numFmtId="3" fontId="9" fillId="2" borderId="18" xfId="5" applyNumberFormat="1" applyFont="1" applyFill="1" applyBorder="1" applyAlignment="1">
      <alignment horizontal="center" vertical="center"/>
    </xf>
    <xf numFmtId="176" fontId="9" fillId="0" borderId="29" xfId="5" applyFont="1" applyFill="1" applyBorder="1" applyAlignment="1">
      <alignment vertical="center"/>
    </xf>
    <xf numFmtId="176" fontId="12" fillId="0" borderId="41" xfId="5" applyFont="1" applyFill="1" applyBorder="1" applyAlignment="1">
      <alignment horizontal="right" vertical="center"/>
    </xf>
    <xf numFmtId="176" fontId="12" fillId="0" borderId="10" xfId="5" applyFont="1" applyFill="1" applyBorder="1" applyAlignment="1">
      <alignment horizontal="right" vertical="center"/>
    </xf>
    <xf numFmtId="176" fontId="12" fillId="0" borderId="11" xfId="5" applyFont="1" applyFill="1" applyBorder="1" applyAlignment="1">
      <alignment horizontal="right" vertical="center"/>
    </xf>
    <xf numFmtId="176" fontId="12" fillId="0" borderId="12" xfId="5" applyFont="1" applyFill="1" applyBorder="1" applyAlignment="1">
      <alignment horizontal="right" vertical="center"/>
    </xf>
    <xf numFmtId="167" fontId="9" fillId="0" borderId="0" xfId="5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horizontal="center" vertical="center"/>
    </xf>
    <xf numFmtId="3" fontId="9" fillId="2" borderId="14" xfId="2" applyNumberFormat="1" applyFont="1" applyFill="1" applyBorder="1" applyAlignment="1" applyProtection="1">
      <alignment horizontal="right" vertical="center"/>
    </xf>
    <xf numFmtId="3" fontId="9" fillId="2" borderId="13" xfId="3" applyNumberFormat="1" applyFont="1" applyFill="1" applyBorder="1" applyAlignment="1" applyProtection="1">
      <alignment horizontal="center" vertical="center"/>
    </xf>
    <xf numFmtId="3" fontId="9" fillId="2" borderId="2" xfId="3" applyNumberFormat="1" applyFont="1" applyFill="1" applyBorder="1" applyAlignment="1" applyProtection="1">
      <alignment horizontal="center" vertical="center"/>
    </xf>
    <xf numFmtId="176" fontId="9" fillId="0" borderId="17" xfId="5" applyFont="1" applyFill="1" applyBorder="1" applyAlignment="1">
      <alignment horizontal="center" vertical="center"/>
    </xf>
    <xf numFmtId="3" fontId="9" fillId="0" borderId="19" xfId="2" applyNumberFormat="1" applyFont="1" applyFill="1" applyBorder="1" applyAlignment="1" applyProtection="1">
      <alignment horizontal="right" vertical="center"/>
    </xf>
    <xf numFmtId="3" fontId="9" fillId="0" borderId="18" xfId="3" applyNumberFormat="1" applyFont="1" applyFill="1" applyBorder="1" applyAlignment="1" applyProtection="1">
      <alignment horizontal="center" vertical="center"/>
    </xf>
    <xf numFmtId="3" fontId="9" fillId="0" borderId="17" xfId="3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right" vertical="center"/>
    </xf>
    <xf numFmtId="3" fontId="9" fillId="0" borderId="18" xfId="3" applyNumberFormat="1" applyFont="1" applyFill="1" applyBorder="1" applyAlignment="1" applyProtection="1">
      <alignment horizontal="right" vertical="center"/>
    </xf>
    <xf numFmtId="3" fontId="9" fillId="2" borderId="18" xfId="3" applyNumberFormat="1" applyFont="1" applyFill="1" applyBorder="1" applyAlignment="1" applyProtection="1">
      <alignment horizontal="right" vertical="center"/>
    </xf>
    <xf numFmtId="3" fontId="9" fillId="2" borderId="19" xfId="2" applyNumberFormat="1" applyFont="1" applyFill="1" applyBorder="1" applyAlignment="1" applyProtection="1">
      <alignment horizontal="right" vertical="center"/>
    </xf>
    <xf numFmtId="3" fontId="9" fillId="2" borderId="19" xfId="3" applyNumberFormat="1" applyFont="1" applyFill="1" applyBorder="1" applyAlignment="1" applyProtection="1">
      <alignment horizontal="right" vertical="center"/>
    </xf>
    <xf numFmtId="3" fontId="9" fillId="2" borderId="18" xfId="3" applyNumberFormat="1" applyFont="1" applyFill="1" applyBorder="1" applyAlignment="1" applyProtection="1">
      <alignment horizontal="center" vertical="center"/>
    </xf>
    <xf numFmtId="3" fontId="9" fillId="2" borderId="17" xfId="3" applyNumberFormat="1" applyFont="1" applyFill="1" applyBorder="1" applyAlignment="1" applyProtection="1">
      <alignment horizontal="center" vertical="center"/>
    </xf>
    <xf numFmtId="3" fontId="9" fillId="2" borderId="32" xfId="2" applyNumberFormat="1" applyFont="1" applyFill="1" applyBorder="1" applyAlignment="1" applyProtection="1">
      <alignment horizontal="right" vertical="center"/>
    </xf>
    <xf numFmtId="3" fontId="9" fillId="2" borderId="61" xfId="2" applyNumberFormat="1" applyFont="1" applyFill="1" applyBorder="1" applyAlignment="1" applyProtection="1">
      <alignment horizontal="right" vertical="center"/>
    </xf>
    <xf numFmtId="3" fontId="9" fillId="2" borderId="32" xfId="5" applyNumberFormat="1" applyFont="1" applyFill="1" applyBorder="1" applyAlignment="1">
      <alignment horizontal="right" vertical="center"/>
    </xf>
    <xf numFmtId="3" fontId="9" fillId="2" borderId="32" xfId="5" applyNumberFormat="1" applyFont="1" applyFill="1" applyBorder="1" applyAlignment="1">
      <alignment horizontal="center" vertical="center"/>
    </xf>
    <xf numFmtId="3" fontId="9" fillId="2" borderId="16" xfId="5" applyNumberFormat="1" applyFont="1" applyFill="1" applyBorder="1" applyAlignment="1">
      <alignment horizontal="center" vertical="center"/>
    </xf>
    <xf numFmtId="3" fontId="9" fillId="0" borderId="23" xfId="5" applyNumberFormat="1" applyFont="1" applyFill="1" applyBorder="1" applyAlignment="1">
      <alignment horizontal="center" vertical="center"/>
    </xf>
    <xf numFmtId="3" fontId="9" fillId="0" borderId="26" xfId="5" applyNumberFormat="1" applyFont="1" applyFill="1" applyBorder="1" applyAlignment="1">
      <alignment horizontal="center" vertical="center"/>
    </xf>
    <xf numFmtId="3" fontId="9" fillId="2" borderId="18" xfId="2" applyNumberFormat="1" applyFont="1" applyFill="1" applyBorder="1" applyAlignment="1" applyProtection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4" xfId="5" applyNumberFormat="1" applyFont="1" applyFill="1" applyBorder="1" applyAlignment="1">
      <alignment horizontal="center" vertical="center"/>
    </xf>
    <xf numFmtId="3" fontId="9" fillId="2" borderId="18" xfId="5" applyNumberFormat="1" applyFont="1" applyFill="1" applyBorder="1" applyAlignment="1">
      <alignment horizontal="right" vertical="center"/>
    </xf>
    <xf numFmtId="3" fontId="9" fillId="0" borderId="2" xfId="5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 applyProtection="1">
      <alignment horizontal="right" vertical="center"/>
    </xf>
    <xf numFmtId="3" fontId="9" fillId="0" borderId="67" xfId="2" applyNumberFormat="1" applyFont="1" applyFill="1" applyBorder="1" applyAlignment="1" applyProtection="1">
      <alignment horizontal="right" vertical="center"/>
    </xf>
    <xf numFmtId="3" fontId="9" fillId="0" borderId="66" xfId="5" applyNumberFormat="1" applyFont="1" applyFill="1" applyBorder="1" applyAlignment="1">
      <alignment horizontal="center" vertical="center"/>
    </xf>
    <xf numFmtId="3" fontId="9" fillId="0" borderId="62" xfId="5" applyNumberFormat="1" applyFont="1" applyFill="1" applyBorder="1" applyAlignment="1">
      <alignment horizontal="center" vertical="center"/>
    </xf>
    <xf numFmtId="3" fontId="10" fillId="0" borderId="19" xfId="2" applyNumberFormat="1" applyFont="1" applyFill="1" applyBorder="1" applyAlignment="1" applyProtection="1">
      <alignment horizontal="right" vertical="center"/>
    </xf>
    <xf numFmtId="176" fontId="6" fillId="0" borderId="0" xfId="5" applyFont="1" applyFill="1" applyBorder="1" applyAlignment="1">
      <alignment horizontal="center"/>
    </xf>
    <xf numFmtId="3" fontId="9" fillId="2" borderId="17" xfId="5" applyNumberFormat="1" applyFont="1" applyFill="1" applyBorder="1" applyAlignment="1">
      <alignment horizontal="center" vertical="center"/>
    </xf>
    <xf numFmtId="176" fontId="8" fillId="0" borderId="0" xfId="5" applyFont="1" applyFill="1" applyBorder="1" applyAlignment="1">
      <alignment horizontal="center"/>
    </xf>
    <xf numFmtId="3" fontId="9" fillId="2" borderId="23" xfId="5" applyNumberFormat="1" applyFont="1" applyFill="1" applyBorder="1" applyAlignment="1">
      <alignment horizontal="center" vertical="center"/>
    </xf>
    <xf numFmtId="3" fontId="9" fillId="2" borderId="26" xfId="5" applyNumberFormat="1" applyFont="1" applyFill="1" applyBorder="1" applyAlignment="1">
      <alignment horizontal="center" vertical="center"/>
    </xf>
    <xf numFmtId="3" fontId="9" fillId="2" borderId="6" xfId="5" applyNumberFormat="1" applyFont="1" applyFill="1" applyBorder="1" applyAlignment="1">
      <alignment horizontal="center" vertical="center"/>
    </xf>
    <xf numFmtId="3" fontId="9" fillId="2" borderId="22" xfId="5" applyNumberFormat="1" applyFont="1" applyFill="1" applyBorder="1" applyAlignment="1">
      <alignment horizontal="center" vertical="center"/>
    </xf>
    <xf numFmtId="3" fontId="12" fillId="0" borderId="5" xfId="2" applyNumberFormat="1" applyFont="1" applyFill="1" applyBorder="1" applyAlignment="1" applyProtection="1">
      <alignment horizontal="center" vertical="center"/>
    </xf>
    <xf numFmtId="176" fontId="9" fillId="0" borderId="18" xfId="5" applyFont="1" applyFill="1" applyBorder="1" applyAlignment="1">
      <alignment vertical="center"/>
    </xf>
    <xf numFmtId="176" fontId="9" fillId="2" borderId="22" xfId="5" applyFont="1" applyFill="1" applyBorder="1" applyAlignment="1">
      <alignment vertical="center"/>
    </xf>
    <xf numFmtId="164" fontId="9" fillId="2" borderId="7" xfId="2" applyNumberFormat="1" applyFont="1" applyFill="1" applyBorder="1" applyAlignment="1" applyProtection="1">
      <alignment vertical="center"/>
    </xf>
    <xf numFmtId="165" fontId="9" fillId="0" borderId="19" xfId="5" applyNumberFormat="1" applyFont="1" applyFill="1" applyBorder="1" applyAlignment="1">
      <alignment vertical="center"/>
    </xf>
    <xf numFmtId="176" fontId="9" fillId="2" borderId="17" xfId="5" applyFont="1" applyFill="1" applyBorder="1" applyAlignment="1">
      <alignment horizontal="left" vertical="center"/>
    </xf>
    <xf numFmtId="176" fontId="9" fillId="0" borderId="17" xfId="5" applyFont="1" applyFill="1" applyBorder="1" applyAlignment="1">
      <alignment horizontal="left" vertical="center"/>
    </xf>
    <xf numFmtId="3" fontId="9" fillId="0" borderId="20" xfId="5" applyNumberFormat="1" applyFont="1" applyFill="1" applyBorder="1" applyAlignment="1">
      <alignment horizontal="center" vertical="center"/>
    </xf>
    <xf numFmtId="3" fontId="9" fillId="0" borderId="21" xfId="5" applyNumberFormat="1" applyFont="1" applyFill="1" applyBorder="1" applyAlignment="1">
      <alignment horizontal="center" vertical="center"/>
    </xf>
    <xf numFmtId="176" fontId="9" fillId="2" borderId="26" xfId="5" applyFont="1" applyFill="1" applyBorder="1" applyAlignment="1">
      <alignment horizontal="left" vertical="center"/>
    </xf>
    <xf numFmtId="176" fontId="9" fillId="2" borderId="26" xfId="5" applyFont="1" applyFill="1" applyBorder="1" applyAlignment="1">
      <alignment vertical="center"/>
    </xf>
    <xf numFmtId="164" fontId="9" fillId="2" borderId="23" xfId="2" applyNumberFormat="1" applyFont="1" applyFill="1" applyBorder="1" applyAlignment="1" applyProtection="1">
      <alignment vertical="center"/>
    </xf>
    <xf numFmtId="164" fontId="9" fillId="2" borderId="24" xfId="2" applyNumberFormat="1" applyFont="1" applyFill="1" applyBorder="1" applyAlignment="1" applyProtection="1">
      <alignment vertical="center"/>
    </xf>
    <xf numFmtId="164" fontId="10" fillId="2" borderId="24" xfId="2" applyNumberFormat="1" applyFont="1" applyFill="1" applyBorder="1" applyAlignment="1" applyProtection="1">
      <alignment vertical="center"/>
    </xf>
    <xf numFmtId="3" fontId="9" fillId="2" borderId="73" xfId="5" applyNumberFormat="1" applyFont="1" applyFill="1" applyBorder="1" applyAlignment="1">
      <alignment horizontal="center" vertical="center"/>
    </xf>
    <xf numFmtId="3" fontId="9" fillId="2" borderId="21" xfId="5" applyNumberFormat="1" applyFont="1" applyFill="1" applyBorder="1" applyAlignment="1">
      <alignment horizontal="center" vertical="center"/>
    </xf>
    <xf numFmtId="164" fontId="10" fillId="0" borderId="6" xfId="2" applyNumberFormat="1" applyFont="1" applyFill="1" applyBorder="1" applyAlignment="1" applyProtection="1">
      <alignment vertical="center"/>
    </xf>
    <xf numFmtId="3" fontId="9" fillId="0" borderId="22" xfId="5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 applyProtection="1">
      <alignment vertical="center"/>
    </xf>
    <xf numFmtId="3" fontId="9" fillId="0" borderId="22" xfId="2" applyNumberFormat="1" applyFont="1" applyFill="1" applyBorder="1" applyAlignment="1" applyProtection="1">
      <alignment horizontal="center" vertical="center"/>
    </xf>
    <xf numFmtId="164" fontId="12" fillId="0" borderId="0" xfId="5" applyNumberFormat="1" applyFont="1" applyFill="1" applyBorder="1" applyAlignment="1">
      <alignment vertical="center"/>
    </xf>
    <xf numFmtId="167" fontId="12" fillId="0" borderId="0" xfId="5" applyNumberFormat="1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horizontal="center" vertical="center"/>
    </xf>
    <xf numFmtId="176" fontId="9" fillId="0" borderId="75" xfId="5" applyFont="1" applyFill="1" applyBorder="1" applyAlignment="1">
      <alignment vertical="center"/>
    </xf>
    <xf numFmtId="176" fontId="9" fillId="0" borderId="51" xfId="5" applyFont="1" applyFill="1" applyBorder="1"/>
    <xf numFmtId="176" fontId="9" fillId="0" borderId="76" xfId="5" applyFont="1" applyFill="1" applyBorder="1" applyAlignment="1">
      <alignment vertical="center"/>
    </xf>
    <xf numFmtId="176" fontId="9" fillId="0" borderId="51" xfId="5" applyFont="1" applyFill="1" applyBorder="1" applyAlignment="1">
      <alignment vertical="center"/>
    </xf>
    <xf numFmtId="176" fontId="9" fillId="2" borderId="1" xfId="5" applyFont="1" applyFill="1" applyBorder="1" applyAlignment="1">
      <alignment horizontal="left" vertical="center"/>
    </xf>
    <xf numFmtId="176" fontId="9" fillId="2" borderId="25" xfId="5" applyFont="1" applyFill="1" applyBorder="1" applyAlignment="1">
      <alignment horizontal="right"/>
    </xf>
    <xf numFmtId="176" fontId="9" fillId="2" borderId="24" xfId="5" applyFont="1" applyFill="1" applyBorder="1" applyAlignment="1">
      <alignment horizontal="right"/>
    </xf>
    <xf numFmtId="176" fontId="9" fillId="2" borderId="77" xfId="5" applyFont="1" applyFill="1" applyBorder="1" applyAlignment="1">
      <alignment horizontal="right"/>
    </xf>
    <xf numFmtId="164" fontId="9" fillId="2" borderId="77" xfId="2" applyNumberFormat="1" applyFont="1" applyFill="1" applyBorder="1" applyAlignment="1" applyProtection="1"/>
    <xf numFmtId="164" fontId="9" fillId="2" borderId="35" xfId="2" applyNumberFormat="1" applyFont="1" applyFill="1" applyBorder="1" applyAlignment="1" applyProtection="1"/>
    <xf numFmtId="164" fontId="10" fillId="2" borderId="13" xfId="2" applyNumberFormat="1" applyFont="1" applyFill="1" applyBorder="1" applyAlignment="1" applyProtection="1"/>
    <xf numFmtId="164" fontId="10" fillId="2" borderId="14" xfId="2" applyNumberFormat="1" applyFont="1" applyFill="1" applyBorder="1" applyAlignment="1" applyProtection="1"/>
    <xf numFmtId="3" fontId="9" fillId="2" borderId="48" xfId="2" applyNumberFormat="1" applyFont="1" applyFill="1" applyBorder="1" applyAlignment="1" applyProtection="1">
      <alignment horizontal="center"/>
    </xf>
    <xf numFmtId="176" fontId="9" fillId="0" borderId="33" xfId="5" applyFont="1" applyFill="1" applyBorder="1" applyAlignment="1">
      <alignment horizontal="right"/>
    </xf>
    <xf numFmtId="176" fontId="9" fillId="0" borderId="7" xfId="5" applyFont="1" applyFill="1" applyBorder="1" applyAlignment="1">
      <alignment horizontal="right"/>
    </xf>
    <xf numFmtId="176" fontId="9" fillId="0" borderId="25" xfId="5" applyFont="1" applyFill="1" applyBorder="1" applyAlignment="1">
      <alignment horizontal="right"/>
    </xf>
    <xf numFmtId="176" fontId="9" fillId="0" borderId="77" xfId="5" applyFont="1" applyFill="1" applyBorder="1" applyAlignment="1">
      <alignment horizontal="right"/>
    </xf>
    <xf numFmtId="164" fontId="9" fillId="0" borderId="77" xfId="2" applyNumberFormat="1" applyFont="1" applyFill="1" applyBorder="1" applyAlignment="1" applyProtection="1"/>
    <xf numFmtId="164" fontId="9" fillId="0" borderId="35" xfId="2" applyNumberFormat="1" applyFont="1" applyFill="1" applyBorder="1" applyAlignment="1" applyProtection="1"/>
    <xf numFmtId="164" fontId="9" fillId="0" borderId="39" xfId="2" applyNumberFormat="1" applyFont="1" applyFill="1" applyBorder="1" applyAlignment="1" applyProtection="1"/>
    <xf numFmtId="164" fontId="10" fillId="0" borderId="36" xfId="2" applyNumberFormat="1" applyFont="1" applyFill="1" applyBorder="1" applyAlignment="1" applyProtection="1"/>
    <xf numFmtId="3" fontId="9" fillId="0" borderId="46" xfId="2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176" fontId="12" fillId="0" borderId="4" xfId="5" applyFont="1" applyFill="1" applyBorder="1" applyAlignment="1">
      <alignment vertical="center"/>
    </xf>
    <xf numFmtId="176" fontId="12" fillId="0" borderId="42" xfId="5" applyFont="1" applyFill="1" applyBorder="1" applyAlignment="1">
      <alignment horizontal="right" vertical="center"/>
    </xf>
    <xf numFmtId="176" fontId="12" fillId="0" borderId="72" xfId="5" applyFont="1" applyFill="1" applyBorder="1" applyAlignment="1">
      <alignment horizontal="right"/>
    </xf>
    <xf numFmtId="176" fontId="12" fillId="0" borderId="9" xfId="5" applyFont="1" applyFill="1" applyBorder="1" applyAlignment="1">
      <alignment horizontal="right"/>
    </xf>
    <xf numFmtId="164" fontId="12" fillId="0" borderId="9" xfId="2" applyNumberFormat="1" applyFont="1" applyFill="1" applyBorder="1" applyAlignment="1" applyProtection="1"/>
    <xf numFmtId="164" fontId="12" fillId="0" borderId="8" xfId="2" applyNumberFormat="1" applyFont="1" applyFill="1" applyBorder="1" applyAlignment="1" applyProtection="1"/>
    <xf numFmtId="3" fontId="12" fillId="0" borderId="46" xfId="2" applyNumberFormat="1" applyFont="1" applyFill="1" applyBorder="1" applyAlignment="1" applyProtection="1">
      <alignment horizontal="center"/>
    </xf>
    <xf numFmtId="164" fontId="12" fillId="0" borderId="0" xfId="5" applyNumberFormat="1" applyFont="1" applyFill="1" applyBorder="1" applyAlignment="1">
      <alignment horizontal="center" vertical="center"/>
    </xf>
    <xf numFmtId="3" fontId="9" fillId="0" borderId="0" xfId="5" applyNumberFormat="1" applyFont="1" applyFill="1" applyBorder="1"/>
    <xf numFmtId="164" fontId="9" fillId="0" borderId="0" xfId="5" applyNumberFormat="1" applyFont="1" applyFill="1" applyBorder="1" applyAlignment="1">
      <alignment horizontal="right"/>
    </xf>
    <xf numFmtId="176" fontId="12" fillId="0" borderId="0" xfId="5" applyFont="1" applyFill="1" applyBorder="1" applyAlignment="1">
      <alignment vertical="center"/>
    </xf>
    <xf numFmtId="176" fontId="10" fillId="0" borderId="0" xfId="5" applyFont="1" applyFill="1" applyBorder="1" applyAlignment="1">
      <alignment vertical="center"/>
    </xf>
    <xf numFmtId="167" fontId="10" fillId="0" borderId="0" xfId="5" applyNumberFormat="1" applyFont="1" applyFill="1" applyBorder="1" applyAlignment="1">
      <alignment vertical="center"/>
    </xf>
    <xf numFmtId="168" fontId="18" fillId="0" borderId="0" xfId="5" applyNumberFormat="1" applyFont="1" applyAlignment="1">
      <alignment horizontal="left"/>
    </xf>
    <xf numFmtId="176" fontId="18" fillId="0" borderId="0" xfId="5" applyFont="1"/>
    <xf numFmtId="176" fontId="18" fillId="0" borderId="0" xfId="5" applyFont="1" applyAlignment="1">
      <alignment horizontal="center"/>
    </xf>
    <xf numFmtId="49" fontId="18" fillId="0" borderId="0" xfId="5" applyNumberFormat="1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176" fontId="1" fillId="0" borderId="11" xfId="5" applyFont="1" applyBorder="1"/>
    <xf numFmtId="176" fontId="1" fillId="0" borderId="11" xfId="5" applyFont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 horizontal="center"/>
    </xf>
    <xf numFmtId="170" fontId="1" fillId="0" borderId="11" xfId="5" applyNumberFormat="1" applyFont="1" applyBorder="1" applyAlignment="1">
      <alignment horizontal="center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0" xfId="0" applyFont="1"/>
    <xf numFmtId="176" fontId="18" fillId="0" borderId="11" xfId="5" applyFont="1" applyFill="1" applyBorder="1" applyAlignment="1">
      <alignment horizontal="right"/>
    </xf>
    <xf numFmtId="3" fontId="18" fillId="0" borderId="11" xfId="5" applyNumberFormat="1" applyFont="1" applyBorder="1" applyAlignment="1">
      <alignment horizontal="center"/>
    </xf>
    <xf numFmtId="3" fontId="19" fillId="0" borderId="12" xfId="0" applyNumberFormat="1" applyFont="1" applyBorder="1" applyAlignment="1" applyProtection="1">
      <alignment horizontal="center"/>
      <protection locked="0"/>
    </xf>
    <xf numFmtId="3" fontId="19" fillId="0" borderId="11" xfId="0" applyNumberFormat="1" applyFont="1" applyBorder="1" applyAlignment="1" applyProtection="1">
      <alignment horizontal="center"/>
      <protection locked="0"/>
    </xf>
    <xf numFmtId="176" fontId="18" fillId="0" borderId="0" xfId="5" applyFont="1" applyFill="1" applyBorder="1" applyAlignment="1">
      <alignment horizontal="right"/>
    </xf>
    <xf numFmtId="3" fontId="18" fillId="0" borderId="0" xfId="5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0" fontId="20" fillId="0" borderId="0" xfId="0" applyFont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35" xfId="0" applyFont="1" applyBorder="1" applyAlignment="1">
      <alignment horizontal="center" vertical="center"/>
    </xf>
    <xf numFmtId="169" fontId="23" fillId="0" borderId="25" xfId="0" applyNumberFormat="1" applyFont="1" applyBorder="1" applyAlignment="1">
      <alignment vertical="center"/>
    </xf>
    <xf numFmtId="0" fontId="21" fillId="0" borderId="0" xfId="0" applyFont="1" applyBorder="1"/>
    <xf numFmtId="0" fontId="24" fillId="0" borderId="38" xfId="0" applyFont="1" applyBorder="1" applyAlignment="1">
      <alignment wrapText="1"/>
    </xf>
    <xf numFmtId="0" fontId="24" fillId="0" borderId="34" xfId="0" applyFont="1" applyBorder="1" applyAlignment="1">
      <alignment horizontal="right"/>
    </xf>
    <xf numFmtId="0" fontId="24" fillId="0" borderId="38" xfId="0" applyFont="1" applyBorder="1"/>
    <xf numFmtId="0" fontId="24" fillId="0" borderId="60" xfId="0" applyFont="1" applyBorder="1"/>
    <xf numFmtId="0" fontId="24" fillId="0" borderId="58" xfId="0" applyFont="1" applyBorder="1" applyAlignment="1">
      <alignment horizontal="right"/>
    </xf>
    <xf numFmtId="176" fontId="18" fillId="0" borderId="0" xfId="5" applyFont="1" applyFill="1"/>
    <xf numFmtId="176" fontId="18" fillId="0" borderId="0" xfId="5" applyFont="1" applyFill="1" applyBorder="1"/>
    <xf numFmtId="0" fontId="19" fillId="0" borderId="0" xfId="0" applyFont="1" applyFill="1" applyAlignment="1">
      <alignment horizontal="center"/>
    </xf>
    <xf numFmtId="176" fontId="18" fillId="0" borderId="0" xfId="5" applyFont="1" applyFill="1" applyAlignment="1">
      <alignment horizontal="center"/>
    </xf>
    <xf numFmtId="176" fontId="18" fillId="0" borderId="0" xfId="5" applyFont="1" applyFill="1" applyAlignment="1">
      <alignment horizontal="center" wrapText="1"/>
    </xf>
    <xf numFmtId="0" fontId="21" fillId="0" borderId="0" xfId="0" applyFont="1" applyFill="1"/>
    <xf numFmtId="176" fontId="1" fillId="0" borderId="11" xfId="5" applyFont="1" applyFill="1" applyBorder="1"/>
    <xf numFmtId="166" fontId="1" fillId="0" borderId="11" xfId="5" applyNumberFormat="1" applyFont="1" applyFill="1" applyBorder="1" applyAlignment="1">
      <alignment horizontal="center"/>
    </xf>
    <xf numFmtId="166" fontId="21" fillId="0" borderId="77" xfId="0" applyNumberFormat="1" applyFont="1" applyFill="1" applyBorder="1" applyAlignment="1">
      <alignment horizontal="center"/>
    </xf>
    <xf numFmtId="176" fontId="25" fillId="0" borderId="11" xfId="5" applyFont="1" applyFill="1" applyBorder="1"/>
    <xf numFmtId="166" fontId="1" fillId="0" borderId="12" xfId="5" applyNumberFormat="1" applyFont="1" applyFill="1" applyBorder="1" applyAlignment="1">
      <alignment horizontal="center"/>
    </xf>
    <xf numFmtId="166" fontId="21" fillId="0" borderId="53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/>
    </xf>
    <xf numFmtId="166" fontId="21" fillId="0" borderId="59" xfId="0" applyNumberFormat="1" applyFont="1" applyFill="1" applyBorder="1" applyAlignment="1">
      <alignment horizontal="center"/>
    </xf>
    <xf numFmtId="166" fontId="1" fillId="0" borderId="59" xfId="5" applyNumberFormat="1" applyFont="1" applyFill="1" applyBorder="1" applyAlignment="1">
      <alignment horizontal="center"/>
    </xf>
    <xf numFmtId="176" fontId="1" fillId="0" borderId="0" xfId="5" applyFont="1" applyFill="1"/>
    <xf numFmtId="3" fontId="18" fillId="0" borderId="11" xfId="5" applyNumberFormat="1" applyFont="1" applyFill="1" applyBorder="1" applyAlignment="1">
      <alignment horizontal="center"/>
    </xf>
    <xf numFmtId="176" fontId="22" fillId="0" borderId="0" xfId="5" applyFont="1" applyFill="1"/>
    <xf numFmtId="176" fontId="22" fillId="0" borderId="0" xfId="5" applyFont="1" applyFill="1" applyBorder="1" applyAlignment="1">
      <alignment horizontal="right"/>
    </xf>
    <xf numFmtId="3" fontId="26" fillId="0" borderId="0" xfId="5" applyNumberFormat="1" applyFont="1" applyFill="1" applyBorder="1" applyAlignment="1">
      <alignment horizontal="center"/>
    </xf>
    <xf numFmtId="176" fontId="18" fillId="0" borderId="0" xfId="5" applyFont="1" applyFill="1" applyBorder="1" applyAlignment="1">
      <alignment horizontal="left"/>
    </xf>
    <xf numFmtId="176" fontId="26" fillId="0" borderId="0" xfId="5" applyFont="1" applyFill="1" applyAlignment="1">
      <alignment horizontal="center"/>
    </xf>
    <xf numFmtId="176" fontId="1" fillId="0" borderId="11" xfId="5" applyFont="1" applyFill="1" applyBorder="1" applyAlignment="1">
      <alignment horizontal="center"/>
    </xf>
    <xf numFmtId="166" fontId="18" fillId="0" borderId="11" xfId="5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76" fontId="22" fillId="0" borderId="0" xfId="5" applyFont="1" applyFill="1" applyBorder="1" applyAlignment="1">
      <alignment horizontal="center"/>
    </xf>
    <xf numFmtId="176" fontId="22" fillId="0" borderId="0" xfId="5" applyFont="1" applyFill="1" applyAlignment="1">
      <alignment horizontal="center"/>
    </xf>
    <xf numFmtId="0" fontId="21" fillId="0" borderId="11" xfId="0" applyFont="1" applyFill="1" applyBorder="1"/>
    <xf numFmtId="3" fontId="21" fillId="0" borderId="11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21" fillId="0" borderId="77" xfId="0" applyFont="1" applyFill="1" applyBorder="1"/>
    <xf numFmtId="3" fontId="21" fillId="0" borderId="77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176" fontId="18" fillId="0" borderId="77" xfId="5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center"/>
    </xf>
    <xf numFmtId="176" fontId="26" fillId="0" borderId="0" xfId="5" applyFont="1" applyFill="1" applyBorder="1" applyAlignment="1">
      <alignment horizontal="center"/>
    </xf>
    <xf numFmtId="0" fontId="21" fillId="0" borderId="0" xfId="0" applyFont="1" applyFill="1" applyBorder="1"/>
    <xf numFmtId="3" fontId="21" fillId="0" borderId="0" xfId="0" applyNumberFormat="1" applyFont="1" applyFill="1" applyBorder="1" applyAlignment="1">
      <alignment horizontal="center"/>
    </xf>
    <xf numFmtId="176" fontId="18" fillId="0" borderId="0" xfId="5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/>
    <xf numFmtId="0" fontId="0" fillId="0" borderId="0" xfId="0" applyFont="1" applyAlignment="1"/>
    <xf numFmtId="0" fontId="21" fillId="0" borderId="0" xfId="0" applyFont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6" fontId="21" fillId="0" borderId="11" xfId="0" applyNumberFormat="1" applyFont="1" applyBorder="1"/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/>
    <xf numFmtId="166" fontId="19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ont="1" applyBorder="1" applyAlignment="1">
      <alignment wrapText="1"/>
    </xf>
    <xf numFmtId="0" fontId="21" fillId="0" borderId="0" xfId="0" applyFont="1" applyProtection="1">
      <protection locked="0"/>
    </xf>
    <xf numFmtId="176" fontId="1" fillId="0" borderId="0" xfId="5" applyFont="1"/>
    <xf numFmtId="0" fontId="19" fillId="0" borderId="0" xfId="0" applyFont="1" applyProtection="1">
      <protection locked="0"/>
    </xf>
    <xf numFmtId="176" fontId="18" fillId="3" borderId="0" xfId="5" applyFont="1" applyFill="1" applyBorder="1"/>
    <xf numFmtId="0" fontId="19" fillId="3" borderId="0" xfId="0" applyFont="1" applyFill="1" applyBorder="1" applyProtection="1"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176" fontId="18" fillId="3" borderId="0" xfId="5" applyFont="1" applyFill="1" applyBorder="1" applyAlignment="1">
      <alignment horizontal="center"/>
    </xf>
    <xf numFmtId="0" fontId="28" fillId="0" borderId="0" xfId="0" applyFont="1" applyProtection="1">
      <protection locked="0"/>
    </xf>
    <xf numFmtId="176" fontId="1" fillId="0" borderId="0" xfId="5" applyFont="1" applyAlignment="1">
      <alignment horizontal="center"/>
    </xf>
    <xf numFmtId="0" fontId="29" fillId="0" borderId="0" xfId="0" applyFont="1" applyProtection="1">
      <protection locked="0"/>
    </xf>
    <xf numFmtId="176" fontId="18" fillId="0" borderId="0" xfId="5" applyFont="1" applyBorder="1"/>
    <xf numFmtId="176" fontId="18" fillId="3" borderId="0" xfId="5" applyFont="1" applyFill="1"/>
    <xf numFmtId="168" fontId="18" fillId="0" borderId="0" xfId="5" applyNumberFormat="1" applyFont="1" applyAlignment="1">
      <alignment horizontal="center"/>
    </xf>
    <xf numFmtId="176" fontId="18" fillId="0" borderId="0" xfId="5" applyFont="1" applyProtection="1">
      <protection locked="0"/>
    </xf>
    <xf numFmtId="176" fontId="1" fillId="3" borderId="0" xfId="5" applyFont="1" applyFill="1"/>
    <xf numFmtId="176" fontId="1" fillId="0" borderId="0" xfId="5" applyFont="1" applyBorder="1"/>
    <xf numFmtId="168" fontId="18" fillId="3" borderId="0" xfId="5" applyNumberFormat="1" applyFont="1" applyFill="1" applyBorder="1" applyAlignment="1">
      <alignment horizontal="center"/>
    </xf>
    <xf numFmtId="176" fontId="18" fillId="3" borderId="0" xfId="5" applyFont="1" applyFill="1" applyBorder="1" applyProtection="1">
      <protection locked="0"/>
    </xf>
    <xf numFmtId="176" fontId="1" fillId="3" borderId="0" xfId="5" applyFont="1" applyFill="1" applyBorder="1"/>
    <xf numFmtId="176" fontId="1" fillId="3" borderId="0" xfId="5" applyFont="1" applyFill="1" applyAlignment="1">
      <alignment horizontal="center"/>
    </xf>
    <xf numFmtId="176" fontId="18" fillId="3" borderId="0" xfId="5" applyFont="1" applyFill="1" applyAlignment="1">
      <alignment horizontal="center"/>
    </xf>
    <xf numFmtId="168" fontId="18" fillId="3" borderId="0" xfId="5" applyNumberFormat="1" applyFont="1" applyFill="1" applyAlignment="1">
      <alignment horizontal="center"/>
    </xf>
    <xf numFmtId="176" fontId="18" fillId="3" borderId="0" xfId="5" applyFont="1" applyFill="1" applyProtection="1">
      <protection locked="0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0" xfId="0" applyFont="1" applyFill="1"/>
    <xf numFmtId="176" fontId="1" fillId="0" borderId="0" xfId="5" applyFont="1" applyFill="1" applyBorder="1"/>
    <xf numFmtId="176" fontId="1" fillId="0" borderId="0" xfId="5" applyFont="1" applyFill="1" applyBorder="1" applyAlignment="1">
      <alignment horizontal="center"/>
    </xf>
    <xf numFmtId="176" fontId="1" fillId="0" borderId="0" xfId="5" applyFont="1" applyFill="1" applyAlignment="1">
      <alignment horizontal="center"/>
    </xf>
    <xf numFmtId="176" fontId="1" fillId="0" borderId="0" xfId="5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164" fontId="1" fillId="0" borderId="79" xfId="2" applyNumberFormat="1" applyFont="1" applyFill="1" applyBorder="1" applyAlignment="1" applyProtection="1">
      <alignment horizontal="center"/>
    </xf>
    <xf numFmtId="0" fontId="1" fillId="0" borderId="7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3" fontId="9" fillId="0" borderId="77" xfId="2" applyNumberFormat="1" applyFont="1" applyFill="1" applyBorder="1" applyAlignment="1" applyProtection="1">
      <alignment horizontal="center" vertical="center"/>
    </xf>
    <xf numFmtId="164" fontId="9" fillId="0" borderId="77" xfId="2" applyNumberFormat="1" applyFont="1" applyFill="1" applyBorder="1" applyAlignment="1" applyProtection="1">
      <alignment horizontal="center" vertical="center"/>
    </xf>
    <xf numFmtId="3" fontId="9" fillId="0" borderId="0" xfId="2" applyNumberFormat="1" applyFont="1" applyFill="1" applyBorder="1" applyAlignment="1" applyProtection="1">
      <alignment horizontal="center" vertical="center"/>
    </xf>
    <xf numFmtId="3" fontId="9" fillId="0" borderId="59" xfId="2" applyNumberFormat="1" applyFont="1" applyFill="1" applyBorder="1" applyAlignment="1" applyProtection="1">
      <alignment horizontal="center" vertical="center"/>
    </xf>
    <xf numFmtId="164" fontId="9" fillId="0" borderId="59" xfId="2" applyNumberFormat="1" applyFont="1" applyFill="1" applyBorder="1" applyAlignment="1" applyProtection="1">
      <alignment horizontal="center" vertical="center"/>
    </xf>
    <xf numFmtId="176" fontId="9" fillId="0" borderId="79" xfId="5" applyFont="1" applyFill="1" applyBorder="1" applyAlignment="1">
      <alignment vertical="center"/>
    </xf>
    <xf numFmtId="164" fontId="9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5" fontId="9" fillId="0" borderId="0" xfId="5" applyNumberFormat="1" applyFont="1" applyFill="1" applyBorder="1" applyAlignment="1">
      <alignment horizontal="center" vertical="center"/>
    </xf>
    <xf numFmtId="176" fontId="9" fillId="0" borderId="0" xfId="5" applyFont="1" applyFill="1" applyBorder="1" applyAlignment="1">
      <alignment horizontal="left"/>
    </xf>
    <xf numFmtId="167" fontId="11" fillId="0" borderId="0" xfId="5" applyNumberFormat="1" applyFont="1" applyFill="1" applyBorder="1" applyAlignment="1">
      <alignment horizontal="center" vertical="center" wrapText="1"/>
    </xf>
    <xf numFmtId="176" fontId="11" fillId="0" borderId="0" xfId="5" applyFont="1" applyFill="1" applyBorder="1" applyAlignment="1">
      <alignment horizontal="center" vertical="center" wrapText="1"/>
    </xf>
    <xf numFmtId="3" fontId="11" fillId="0" borderId="0" xfId="5" applyNumberFormat="1" applyFont="1" applyFill="1" applyBorder="1" applyAlignment="1">
      <alignment horizontal="center" vertical="center" wrapText="1"/>
    </xf>
    <xf numFmtId="176" fontId="12" fillId="0" borderId="0" xfId="5" applyFont="1" applyFill="1" applyBorder="1" applyAlignment="1">
      <alignment horizontal="center"/>
    </xf>
    <xf numFmtId="176" fontId="30" fillId="0" borderId="0" xfId="5" applyFont="1" applyFill="1" applyBorder="1" applyAlignment="1">
      <alignment horizontal="center"/>
    </xf>
    <xf numFmtId="0" fontId="31" fillId="0" borderId="0" xfId="0" applyFont="1"/>
    <xf numFmtId="176" fontId="7" fillId="0" borderId="0" xfId="5" applyFont="1" applyFill="1" applyBorder="1" applyAlignment="1">
      <alignment horizontal="left"/>
    </xf>
    <xf numFmtId="176" fontId="9" fillId="0" borderId="0" xfId="5" applyFont="1" applyFill="1" applyBorder="1" applyAlignment="1">
      <alignment horizontal="left" vertical="center"/>
    </xf>
    <xf numFmtId="176" fontId="8" fillId="0" borderId="0" xfId="5" applyFont="1" applyFill="1" applyBorder="1"/>
    <xf numFmtId="176" fontId="11" fillId="0" borderId="0" xfId="5" applyFont="1" applyFill="1" applyBorder="1" applyAlignment="1">
      <alignment vertical="center"/>
    </xf>
    <xf numFmtId="176" fontId="11" fillId="0" borderId="0" xfId="5" applyFont="1" applyFill="1" applyBorder="1" applyAlignment="1">
      <alignment horizontal="left" vertical="center"/>
    </xf>
    <xf numFmtId="176" fontId="11" fillId="0" borderId="0" xfId="5" applyFont="1" applyFill="1" applyBorder="1" applyAlignment="1">
      <alignment horizontal="right" vertical="center" wrapText="1"/>
    </xf>
    <xf numFmtId="164" fontId="9" fillId="0" borderId="0" xfId="2" applyNumberFormat="1" applyFont="1" applyFill="1" applyBorder="1" applyAlignment="1" applyProtection="1">
      <alignment vertical="center"/>
    </xf>
    <xf numFmtId="176" fontId="12" fillId="0" borderId="0" xfId="5" applyFont="1" applyFill="1" applyBorder="1" applyAlignment="1">
      <alignment horizontal="left" vertical="center"/>
    </xf>
    <xf numFmtId="176" fontId="32" fillId="0" borderId="0" xfId="5" applyFont="1" applyFill="1" applyBorder="1" applyAlignment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33" fillId="0" borderId="0" xfId="0" applyFont="1" applyBorder="1" applyAlignment="1"/>
    <xf numFmtId="0" fontId="17" fillId="0" borderId="8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66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3" fillId="0" borderId="0" xfId="0" applyFont="1" applyBorder="1" applyAlignment="1">
      <alignment vertical="center"/>
    </xf>
    <xf numFmtId="176" fontId="34" fillId="0" borderId="0" xfId="5" applyFont="1"/>
    <xf numFmtId="176" fontId="35" fillId="0" borderId="0" xfId="5" applyFont="1"/>
    <xf numFmtId="171" fontId="18" fillId="0" borderId="0" xfId="5" applyNumberFormat="1" applyFont="1"/>
    <xf numFmtId="171" fontId="18" fillId="0" borderId="57" xfId="5" applyNumberFormat="1" applyFont="1" applyBorder="1"/>
    <xf numFmtId="171" fontId="18" fillId="0" borderId="74" xfId="5" applyNumberFormat="1" applyFont="1" applyBorder="1"/>
    <xf numFmtId="171" fontId="31" fillId="0" borderId="0" xfId="5" applyNumberFormat="1" applyFont="1"/>
    <xf numFmtId="176" fontId="1" fillId="0" borderId="45" xfId="5" applyFont="1" applyFill="1" applyBorder="1" applyAlignment="1">
      <alignment horizontal="center"/>
    </xf>
    <xf numFmtId="176" fontId="1" fillId="0" borderId="0" xfId="5" applyFont="1" applyBorder="1" applyAlignment="1">
      <alignment horizontal="center"/>
    </xf>
    <xf numFmtId="176" fontId="9" fillId="0" borderId="0" xfId="5" applyFont="1" applyBorder="1" applyAlignment="1">
      <alignment horizontal="center"/>
    </xf>
    <xf numFmtId="176" fontId="1" fillId="0" borderId="51" xfId="5" applyFont="1" applyBorder="1"/>
    <xf numFmtId="10" fontId="1" fillId="0" borderId="0" xfId="5" applyNumberFormat="1" applyFont="1" applyBorder="1" applyAlignment="1">
      <alignment horizontal="center"/>
    </xf>
    <xf numFmtId="176" fontId="18" fillId="0" borderId="51" xfId="5" applyFont="1" applyBorder="1" applyAlignment="1">
      <alignment horizontal="center"/>
    </xf>
    <xf numFmtId="176" fontId="18" fillId="0" borderId="45" xfId="5" applyFont="1" applyBorder="1" applyAlignment="1">
      <alignment horizontal="center"/>
    </xf>
    <xf numFmtId="176" fontId="1" fillId="0" borderId="18" xfId="5" applyFont="1" applyBorder="1" applyAlignment="1">
      <alignment horizontal="center"/>
    </xf>
    <xf numFmtId="176" fontId="1" fillId="0" borderId="12" xfId="5" applyFont="1" applyBorder="1" applyAlignment="1">
      <alignment horizontal="center"/>
    </xf>
    <xf numFmtId="172" fontId="1" fillId="0" borderId="18" xfId="5" applyNumberFormat="1" applyFont="1" applyBorder="1" applyAlignment="1">
      <alignment horizontal="center"/>
    </xf>
    <xf numFmtId="3" fontId="1" fillId="0" borderId="11" xfId="5" applyNumberFormat="1" applyFont="1" applyBorder="1" applyAlignment="1">
      <alignment horizontal="center"/>
    </xf>
    <xf numFmtId="3" fontId="18" fillId="0" borderId="19" xfId="5" applyNumberFormat="1" applyFont="1" applyBorder="1" applyAlignment="1">
      <alignment horizontal="center"/>
    </xf>
    <xf numFmtId="173" fontId="1" fillId="0" borderId="18" xfId="5" applyNumberFormat="1" applyFont="1" applyBorder="1" applyAlignment="1">
      <alignment horizontal="center"/>
    </xf>
    <xf numFmtId="4" fontId="1" fillId="0" borderId="6" xfId="5" applyNumberFormat="1" applyFont="1" applyBorder="1" applyAlignment="1">
      <alignment horizontal="center"/>
    </xf>
    <xf numFmtId="176" fontId="1" fillId="0" borderId="8" xfId="5" applyFont="1" applyBorder="1" applyAlignment="1">
      <alignment horizontal="center"/>
    </xf>
    <xf numFmtId="176" fontId="1" fillId="0" borderId="6" xfId="5" applyFont="1" applyBorder="1" applyAlignment="1">
      <alignment horizontal="center"/>
    </xf>
    <xf numFmtId="3" fontId="1" fillId="0" borderId="9" xfId="5" applyNumberFormat="1" applyFont="1" applyBorder="1" applyAlignment="1">
      <alignment horizontal="center"/>
    </xf>
    <xf numFmtId="3" fontId="18" fillId="0" borderId="7" xfId="5" applyNumberFormat="1" applyFont="1" applyBorder="1" applyAlignment="1">
      <alignment horizontal="center"/>
    </xf>
    <xf numFmtId="173" fontId="1" fillId="0" borderId="6" xfId="5" applyNumberFormat="1" applyFont="1" applyBorder="1" applyAlignment="1">
      <alignment horizontal="center"/>
    </xf>
    <xf numFmtId="4" fontId="1" fillId="0" borderId="0" xfId="5" applyNumberFormat="1" applyFont="1" applyAlignment="1">
      <alignment horizontal="center"/>
    </xf>
    <xf numFmtId="171" fontId="18" fillId="0" borderId="0" xfId="5" applyNumberFormat="1" applyFont="1" applyBorder="1"/>
    <xf numFmtId="176" fontId="1" fillId="0" borderId="75" xfId="5" applyFont="1" applyFill="1" applyBorder="1" applyAlignment="1">
      <alignment horizontal="center"/>
    </xf>
    <xf numFmtId="176" fontId="1" fillId="0" borderId="76" xfId="5" applyFont="1" applyBorder="1" applyAlignment="1">
      <alignment horizontal="center"/>
    </xf>
    <xf numFmtId="176" fontId="9" fillId="0" borderId="76" xfId="5" applyFont="1" applyBorder="1" applyAlignment="1">
      <alignment horizontal="center"/>
    </xf>
    <xf numFmtId="176" fontId="1" fillId="0" borderId="81" xfId="5" applyFont="1" applyBorder="1"/>
    <xf numFmtId="176" fontId="1" fillId="0" borderId="51" xfId="5" applyFont="1" applyBorder="1" applyAlignment="1">
      <alignment horizontal="center"/>
    </xf>
    <xf numFmtId="176" fontId="17" fillId="0" borderId="45" xfId="5" applyFont="1" applyFill="1" applyBorder="1"/>
    <xf numFmtId="176" fontId="1" fillId="0" borderId="43" xfId="5" applyFont="1" applyBorder="1"/>
    <xf numFmtId="176" fontId="18" fillId="0" borderId="82" xfId="5" applyFont="1" applyBorder="1" applyAlignment="1">
      <alignment horizontal="center"/>
    </xf>
    <xf numFmtId="176" fontId="1" fillId="0" borderId="83" xfId="5" applyFont="1" applyBorder="1" applyAlignment="1">
      <alignment horizontal="center"/>
    </xf>
    <xf numFmtId="176" fontId="17" fillId="0" borderId="82" xfId="5" applyFont="1" applyFill="1" applyBorder="1"/>
    <xf numFmtId="3" fontId="18" fillId="0" borderId="19" xfId="5" applyNumberFormat="1" applyFont="1" applyBorder="1" applyAlignment="1">
      <alignment horizontal="center" vertical="center"/>
    </xf>
    <xf numFmtId="3" fontId="18" fillId="0" borderId="7" xfId="5" applyNumberFormat="1" applyFont="1" applyBorder="1" applyAlignment="1">
      <alignment horizontal="center" vertical="center"/>
    </xf>
    <xf numFmtId="176" fontId="31" fillId="0" borderId="0" xfId="5" applyFont="1"/>
    <xf numFmtId="176" fontId="17" fillId="0" borderId="0" xfId="5" applyFont="1"/>
    <xf numFmtId="176" fontId="17" fillId="0" borderId="0" xfId="5" applyFont="1" applyAlignment="1">
      <alignment horizontal="center"/>
    </xf>
    <xf numFmtId="176" fontId="31" fillId="0" borderId="0" xfId="5" applyFont="1" applyAlignment="1">
      <alignment horizontal="center"/>
    </xf>
    <xf numFmtId="176" fontId="1" fillId="0" borderId="77" xfId="5" applyFont="1" applyBorder="1"/>
    <xf numFmtId="176" fontId="36" fillId="0" borderId="77" xfId="5" applyFont="1" applyBorder="1" applyAlignment="1">
      <alignment horizontal="center"/>
    </xf>
    <xf numFmtId="176" fontId="18" fillId="0" borderId="59" xfId="5" applyFont="1" applyBorder="1"/>
    <xf numFmtId="176" fontId="38" fillId="0" borderId="59" xfId="5" applyFont="1" applyBorder="1" applyAlignment="1">
      <alignment horizontal="center"/>
    </xf>
    <xf numFmtId="176" fontId="38" fillId="0" borderId="60" xfId="5" applyFont="1" applyBorder="1" applyAlignment="1">
      <alignment horizontal="center"/>
    </xf>
    <xf numFmtId="176" fontId="18" fillId="0" borderId="58" xfId="5" applyFont="1" applyBorder="1" applyAlignment="1">
      <alignment horizontal="center" wrapText="1"/>
    </xf>
    <xf numFmtId="176" fontId="18" fillId="0" borderId="11" xfId="5" applyFont="1" applyBorder="1"/>
    <xf numFmtId="176" fontId="38" fillId="0" borderId="59" xfId="5" applyFont="1" applyBorder="1"/>
    <xf numFmtId="176" fontId="18" fillId="0" borderId="0" xfId="5" applyFont="1" applyBorder="1" applyAlignment="1">
      <alignment horizontal="center"/>
    </xf>
    <xf numFmtId="176" fontId="18" fillId="0" borderId="34" xfId="5" applyFont="1" applyBorder="1" applyAlignment="1">
      <alignment horizontal="center" wrapText="1"/>
    </xf>
    <xf numFmtId="3" fontId="1" fillId="0" borderId="11" xfId="5" applyNumberFormat="1" applyFont="1" applyBorder="1"/>
    <xf numFmtId="176" fontId="18" fillId="0" borderId="11" xfId="5" applyFont="1" applyBorder="1" applyAlignment="1">
      <alignment horizontal="center"/>
    </xf>
    <xf numFmtId="3" fontId="18" fillId="0" borderId="0" xfId="5" applyNumberFormat="1" applyFont="1" applyAlignment="1">
      <alignment horizontal="center"/>
    </xf>
    <xf numFmtId="176" fontId="18" fillId="0" borderId="60" xfId="5" applyFont="1" applyBorder="1"/>
    <xf numFmtId="176" fontId="1" fillId="0" borderId="35" xfId="5" applyFont="1" applyBorder="1"/>
    <xf numFmtId="176" fontId="1" fillId="0" borderId="76" xfId="5" applyFont="1" applyBorder="1"/>
    <xf numFmtId="176" fontId="38" fillId="0" borderId="38" xfId="5" applyFont="1" applyBorder="1"/>
    <xf numFmtId="176" fontId="38" fillId="0" borderId="0" xfId="5" applyFont="1" applyBorder="1" applyAlignment="1">
      <alignment horizontal="center"/>
    </xf>
    <xf numFmtId="176" fontId="1" fillId="0" borderId="60" xfId="5" applyFont="1" applyBorder="1"/>
    <xf numFmtId="176" fontId="1" fillId="0" borderId="43" xfId="5" applyFont="1" applyBorder="1" applyAlignment="1">
      <alignment horizontal="center"/>
    </xf>
    <xf numFmtId="176" fontId="1" fillId="0" borderId="58" xfId="5" applyFont="1" applyBorder="1"/>
    <xf numFmtId="0" fontId="0" fillId="0" borderId="43" xfId="0" applyBorder="1"/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0" fillId="0" borderId="0" xfId="0" applyNumberFormat="1" applyAlignment="1">
      <alignment horizontal="center" vertical="center"/>
    </xf>
    <xf numFmtId="0" fontId="0" fillId="2" borderId="0" xfId="0" applyFill="1"/>
    <xf numFmtId="166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/>
    <xf numFmtId="0" fontId="1" fillId="0" borderId="0" xfId="10"/>
    <xf numFmtId="0" fontId="40" fillId="0" borderId="0" xfId="10" applyFont="1" applyAlignment="1">
      <alignment horizontal="center" vertical="center" wrapText="1"/>
    </xf>
    <xf numFmtId="3" fontId="1" fillId="0" borderId="0" xfId="10" applyNumberFormat="1" applyAlignment="1">
      <alignment horizontal="center"/>
    </xf>
    <xf numFmtId="0" fontId="1" fillId="0" borderId="0" xfId="10" applyAlignment="1">
      <alignment wrapText="1"/>
    </xf>
    <xf numFmtId="3" fontId="1" fillId="0" borderId="84" xfId="10" applyNumberFormat="1" applyBorder="1" applyAlignment="1">
      <alignment horizontal="center" wrapText="1"/>
    </xf>
    <xf numFmtId="3" fontId="1" fillId="0" borderId="84" xfId="10" applyNumberFormat="1" applyBorder="1" applyAlignment="1">
      <alignment horizontal="center"/>
    </xf>
    <xf numFmtId="3" fontId="12" fillId="2" borderId="17" xfId="5" applyNumberFormat="1" applyFont="1" applyFill="1" applyBorder="1" applyAlignment="1">
      <alignment horizontal="center" vertical="center"/>
    </xf>
    <xf numFmtId="3" fontId="16" fillId="0" borderId="0" xfId="0" applyNumberFormat="1" applyFont="1" applyAlignment="1"/>
    <xf numFmtId="0" fontId="0" fillId="0" borderId="0" xfId="0" applyFill="1"/>
    <xf numFmtId="176" fontId="9" fillId="4" borderId="17" xfId="5" applyFont="1" applyFill="1" applyBorder="1" applyAlignment="1">
      <alignment vertical="center"/>
    </xf>
    <xf numFmtId="176" fontId="9" fillId="4" borderId="10" xfId="5" applyFont="1" applyFill="1" applyBorder="1" applyAlignment="1">
      <alignment vertical="center"/>
    </xf>
    <xf numFmtId="176" fontId="9" fillId="4" borderId="11" xfId="5" applyFont="1" applyFill="1" applyBorder="1" applyAlignment="1">
      <alignment vertical="center"/>
    </xf>
    <xf numFmtId="176" fontId="9" fillId="4" borderId="12" xfId="5" applyFont="1" applyFill="1" applyBorder="1" applyAlignment="1">
      <alignment vertical="center"/>
    </xf>
    <xf numFmtId="164" fontId="9" fillId="4" borderId="18" xfId="2" applyNumberFormat="1" applyFont="1" applyFill="1" applyBorder="1" applyAlignment="1" applyProtection="1">
      <alignment vertical="center"/>
    </xf>
    <xf numFmtId="164" fontId="9" fillId="4" borderId="19" xfId="2" applyNumberFormat="1" applyFont="1" applyFill="1" applyBorder="1" applyAlignment="1" applyProtection="1">
      <alignment vertical="center"/>
    </xf>
    <xf numFmtId="164" fontId="10" fillId="4" borderId="18" xfId="2" applyNumberFormat="1" applyFont="1" applyFill="1" applyBorder="1" applyAlignment="1" applyProtection="1">
      <alignment vertical="center"/>
    </xf>
    <xf numFmtId="164" fontId="10" fillId="4" borderId="19" xfId="2" applyNumberFormat="1" applyFont="1" applyFill="1" applyBorder="1" applyAlignment="1" applyProtection="1">
      <alignment vertical="center"/>
    </xf>
    <xf numFmtId="3" fontId="9" fillId="4" borderId="23" xfId="2" applyNumberFormat="1" applyFont="1" applyFill="1" applyBorder="1" applyAlignment="1" applyProtection="1">
      <alignment horizontal="center" vertical="center"/>
    </xf>
    <xf numFmtId="3" fontId="9" fillId="4" borderId="26" xfId="2" applyNumberFormat="1" applyFont="1" applyFill="1" applyBorder="1" applyAlignment="1" applyProtection="1">
      <alignment horizontal="center" vertical="center"/>
    </xf>
    <xf numFmtId="176" fontId="9" fillId="5" borderId="17" xfId="5" applyFont="1" applyFill="1" applyBorder="1" applyAlignment="1">
      <alignment vertical="center"/>
    </xf>
    <xf numFmtId="176" fontId="9" fillId="5" borderId="10" xfId="5" applyFont="1" applyFill="1" applyBorder="1" applyAlignment="1">
      <alignment vertical="center"/>
    </xf>
    <xf numFmtId="176" fontId="9" fillId="5" borderId="11" xfId="5" applyFont="1" applyFill="1" applyBorder="1" applyAlignment="1">
      <alignment vertical="center"/>
    </xf>
    <xf numFmtId="176" fontId="9" fillId="5" borderId="12" xfId="5" applyFont="1" applyFill="1" applyBorder="1" applyAlignment="1">
      <alignment vertical="center"/>
    </xf>
    <xf numFmtId="164" fontId="9" fillId="5" borderId="18" xfId="2" applyNumberFormat="1" applyFont="1" applyFill="1" applyBorder="1" applyAlignment="1" applyProtection="1">
      <alignment vertical="center"/>
    </xf>
    <xf numFmtId="164" fontId="9" fillId="5" borderId="19" xfId="2" applyNumberFormat="1" applyFont="1" applyFill="1" applyBorder="1" applyAlignment="1" applyProtection="1">
      <alignment vertical="center"/>
    </xf>
    <xf numFmtId="3" fontId="9" fillId="5" borderId="18" xfId="2" applyNumberFormat="1" applyFont="1" applyFill="1" applyBorder="1" applyAlignment="1" applyProtection="1">
      <alignment horizontal="center" vertical="center"/>
    </xf>
    <xf numFmtId="3" fontId="9" fillId="5" borderId="17" xfId="2" applyNumberFormat="1" applyFont="1" applyFill="1" applyBorder="1" applyAlignment="1" applyProtection="1">
      <alignment horizontal="center" vertical="center"/>
    </xf>
    <xf numFmtId="3" fontId="12" fillId="2" borderId="1" xfId="5" applyNumberFormat="1" applyFont="1" applyFill="1" applyBorder="1" applyAlignment="1">
      <alignment horizontal="center" vertical="center"/>
    </xf>
    <xf numFmtId="3" fontId="12" fillId="0" borderId="17" xfId="5" applyNumberFormat="1" applyFont="1" applyFill="1" applyBorder="1" applyAlignment="1">
      <alignment horizontal="center" vertical="center"/>
    </xf>
    <xf numFmtId="0" fontId="0" fillId="0" borderId="0" xfId="0"/>
    <xf numFmtId="3" fontId="9" fillId="2" borderId="5" xfId="2" applyNumberFormat="1" applyFont="1" applyFill="1" applyBorder="1" applyAlignment="1" applyProtection="1">
      <alignment horizontal="center" vertical="center"/>
    </xf>
    <xf numFmtId="3" fontId="9" fillId="0" borderId="5" xfId="2" applyNumberFormat="1" applyFont="1" applyFill="1" applyBorder="1" applyAlignment="1" applyProtection="1">
      <alignment horizontal="center" vertical="center"/>
    </xf>
    <xf numFmtId="167" fontId="42" fillId="0" borderId="9" xfId="5" applyNumberFormat="1" applyFont="1" applyFill="1" applyBorder="1" applyAlignment="1">
      <alignment horizontal="center" vertical="center" wrapText="1"/>
    </xf>
    <xf numFmtId="167" fontId="42" fillId="2" borderId="15" xfId="2" applyNumberFormat="1" applyFont="1" applyFill="1" applyBorder="1" applyAlignment="1" applyProtection="1">
      <alignment vertical="center"/>
    </xf>
    <xf numFmtId="167" fontId="42" fillId="0" borderId="10" xfId="5" applyNumberFormat="1" applyFont="1" applyFill="1" applyBorder="1" applyAlignment="1">
      <alignment vertical="center"/>
    </xf>
    <xf numFmtId="167" fontId="42" fillId="2" borderId="10" xfId="2" applyNumberFormat="1" applyFont="1" applyFill="1" applyBorder="1" applyAlignment="1" applyProtection="1">
      <alignment vertical="center"/>
    </xf>
    <xf numFmtId="167" fontId="42" fillId="0" borderId="25" xfId="5" applyNumberFormat="1" applyFont="1" applyFill="1" applyBorder="1" applyAlignment="1">
      <alignment vertical="center"/>
    </xf>
    <xf numFmtId="167" fontId="43" fillId="0" borderId="30" xfId="5" applyNumberFormat="1" applyFont="1" applyFill="1" applyBorder="1" applyAlignment="1">
      <alignment vertical="center"/>
    </xf>
    <xf numFmtId="167" fontId="42" fillId="0" borderId="0" xfId="5" applyNumberFormat="1" applyFont="1" applyFill="1" applyBorder="1"/>
    <xf numFmtId="167" fontId="42" fillId="0" borderId="10" xfId="2" applyNumberFormat="1" applyFont="1" applyFill="1" applyBorder="1" applyAlignment="1" applyProtection="1">
      <alignment vertical="center"/>
    </xf>
    <xf numFmtId="167" fontId="42" fillId="2" borderId="10" xfId="5" applyNumberFormat="1" applyFont="1" applyFill="1" applyBorder="1" applyAlignment="1">
      <alignment vertical="center"/>
    </xf>
    <xf numFmtId="167" fontId="42" fillId="0" borderId="33" xfId="2" applyNumberFormat="1" applyFont="1" applyFill="1" applyBorder="1" applyAlignment="1" applyProtection="1">
      <alignment vertical="center"/>
    </xf>
    <xf numFmtId="167" fontId="42" fillId="2" borderId="9" xfId="5" applyNumberFormat="1" applyFont="1" applyFill="1" applyBorder="1" applyAlignment="1">
      <alignment vertical="center"/>
    </xf>
    <xf numFmtId="167" fontId="42" fillId="5" borderId="10" xfId="5" applyNumberFormat="1" applyFont="1" applyFill="1" applyBorder="1" applyAlignment="1">
      <alignment vertical="center"/>
    </xf>
    <xf numFmtId="167" fontId="42" fillId="4" borderId="10" xfId="2" applyNumberFormat="1" applyFont="1" applyFill="1" applyBorder="1" applyAlignment="1" applyProtection="1">
      <alignment vertical="center"/>
    </xf>
    <xf numFmtId="164" fontId="43" fillId="0" borderId="30" xfId="5" applyNumberFormat="1" applyFont="1" applyFill="1" applyBorder="1" applyAlignment="1">
      <alignment vertical="center"/>
    </xf>
    <xf numFmtId="164" fontId="43" fillId="0" borderId="30" xfId="5" applyNumberFormat="1" applyFont="1" applyFill="1" applyBorder="1"/>
    <xf numFmtId="167" fontId="42" fillId="2" borderId="49" xfId="5" applyNumberFormat="1" applyFont="1" applyFill="1" applyBorder="1"/>
    <xf numFmtId="3" fontId="42" fillId="0" borderId="11" xfId="2" applyNumberFormat="1" applyFont="1" applyFill="1" applyBorder="1" applyAlignment="1" applyProtection="1">
      <alignment vertical="center"/>
    </xf>
    <xf numFmtId="167" fontId="43" fillId="0" borderId="31" xfId="5" applyNumberFormat="1" applyFont="1" applyFill="1" applyBorder="1"/>
    <xf numFmtId="167" fontId="42" fillId="2" borderId="58" xfId="2" applyNumberFormat="1" applyFont="1" applyFill="1" applyBorder="1" applyAlignment="1" applyProtection="1">
      <alignment vertical="center"/>
    </xf>
    <xf numFmtId="167" fontId="42" fillId="0" borderId="63" xfId="5" applyNumberFormat="1" applyFont="1" applyFill="1" applyBorder="1" applyAlignment="1">
      <alignment vertical="center"/>
    </xf>
    <xf numFmtId="167" fontId="42" fillId="2" borderId="63" xfId="5" applyNumberFormat="1" applyFont="1" applyFill="1" applyBorder="1" applyAlignment="1">
      <alignment vertical="center"/>
    </xf>
    <xf numFmtId="167" fontId="42" fillId="0" borderId="63" xfId="2" applyNumberFormat="1" applyFont="1" applyFill="1" applyBorder="1" applyAlignment="1" applyProtection="1">
      <alignment vertical="center"/>
    </xf>
    <xf numFmtId="167" fontId="42" fillId="2" borderId="58" xfId="5" applyNumberFormat="1" applyFont="1" applyFill="1" applyBorder="1" applyAlignment="1">
      <alignment vertical="center"/>
    </xf>
    <xf numFmtId="167" fontId="42" fillId="2" borderId="63" xfId="2" applyNumberFormat="1" applyFont="1" applyFill="1" applyBorder="1" applyAlignment="1" applyProtection="1">
      <alignment vertical="center"/>
    </xf>
    <xf numFmtId="167" fontId="42" fillId="0" borderId="58" xfId="2" applyNumberFormat="1" applyFont="1" applyFill="1" applyBorder="1" applyAlignment="1" applyProtection="1">
      <alignment vertical="center"/>
    </xf>
    <xf numFmtId="167" fontId="42" fillId="0" borderId="58" xfId="5" applyNumberFormat="1" applyFont="1" applyFill="1" applyBorder="1" applyAlignment="1">
      <alignment vertical="center"/>
    </xf>
    <xf numFmtId="167" fontId="42" fillId="2" borderId="72" xfId="5" applyNumberFormat="1" applyFont="1" applyFill="1" applyBorder="1" applyAlignment="1">
      <alignment vertical="center"/>
    </xf>
    <xf numFmtId="167" fontId="43" fillId="0" borderId="31" xfId="5" applyNumberFormat="1" applyFont="1" applyFill="1" applyBorder="1" applyAlignment="1">
      <alignment vertical="center"/>
    </xf>
    <xf numFmtId="167" fontId="42" fillId="0" borderId="33" xfId="5" applyNumberFormat="1" applyFont="1" applyFill="1" applyBorder="1" applyAlignment="1">
      <alignment vertical="center"/>
    </xf>
    <xf numFmtId="167" fontId="42" fillId="0" borderId="0" xfId="5" applyNumberFormat="1" applyFont="1" applyFill="1" applyBorder="1" applyAlignment="1">
      <alignment vertical="center"/>
    </xf>
    <xf numFmtId="3" fontId="42" fillId="2" borderId="15" xfId="2" applyNumberFormat="1" applyFont="1" applyFill="1" applyBorder="1" applyAlignment="1" applyProtection="1">
      <alignment horizontal="right" vertical="center"/>
    </xf>
    <xf numFmtId="3" fontId="42" fillId="0" borderId="10" xfId="2" applyNumberFormat="1" applyFont="1" applyFill="1" applyBorder="1" applyAlignment="1" applyProtection="1">
      <alignment horizontal="right" vertical="center"/>
    </xf>
    <xf numFmtId="3" fontId="42" fillId="0" borderId="10" xfId="5" applyNumberFormat="1" applyFont="1" applyFill="1" applyBorder="1" applyAlignment="1">
      <alignment horizontal="right" vertical="center"/>
    </xf>
    <xf numFmtId="3" fontId="42" fillId="2" borderId="10" xfId="5" applyNumberFormat="1" applyFont="1" applyFill="1" applyBorder="1" applyAlignment="1">
      <alignment horizontal="right" vertical="center"/>
    </xf>
    <xf numFmtId="3" fontId="42" fillId="2" borderId="58" xfId="2" applyNumberFormat="1" applyFont="1" applyFill="1" applyBorder="1" applyAlignment="1" applyProtection="1">
      <alignment horizontal="right" vertical="center"/>
    </xf>
    <xf numFmtId="3" fontId="42" fillId="0" borderId="63" xfId="5" applyNumberFormat="1" applyFont="1" applyFill="1" applyBorder="1" applyAlignment="1">
      <alignment horizontal="right" vertical="center"/>
    </xf>
    <xf numFmtId="3" fontId="42" fillId="2" borderId="58" xfId="5" applyNumberFormat="1" applyFont="1" applyFill="1" applyBorder="1" applyAlignment="1">
      <alignment horizontal="right" vertical="center"/>
    </xf>
    <xf numFmtId="167" fontId="42" fillId="2" borderId="15" xfId="5" applyNumberFormat="1" applyFont="1" applyFill="1" applyBorder="1" applyAlignment="1">
      <alignment vertical="center"/>
    </xf>
    <xf numFmtId="167" fontId="42" fillId="2" borderId="33" xfId="2" applyNumberFormat="1" applyFont="1" applyFill="1" applyBorder="1" applyAlignment="1" applyProtection="1">
      <alignment vertical="center"/>
    </xf>
    <xf numFmtId="167" fontId="42" fillId="2" borderId="11" xfId="5" applyNumberFormat="1" applyFont="1" applyFill="1" applyBorder="1" applyAlignment="1">
      <alignment vertical="center"/>
    </xf>
    <xf numFmtId="167" fontId="42" fillId="0" borderId="9" xfId="5" applyNumberFormat="1" applyFont="1" applyFill="1" applyBorder="1" applyAlignment="1">
      <alignment vertical="center"/>
    </xf>
    <xf numFmtId="167" fontId="43" fillId="0" borderId="0" xfId="5" applyNumberFormat="1" applyFont="1" applyFill="1" applyBorder="1" applyAlignment="1">
      <alignment vertical="center"/>
    </xf>
    <xf numFmtId="167" fontId="42" fillId="2" borderId="78" xfId="5" applyNumberFormat="1" applyFont="1" applyFill="1" applyBorder="1"/>
    <xf numFmtId="167" fontId="42" fillId="0" borderId="72" xfId="5" applyNumberFormat="1" applyFont="1" applyFill="1" applyBorder="1"/>
    <xf numFmtId="167" fontId="43" fillId="0" borderId="30" xfId="5" applyNumberFormat="1" applyFont="1" applyFill="1" applyBorder="1"/>
    <xf numFmtId="164" fontId="43" fillId="0" borderId="0" xfId="5" applyNumberFormat="1" applyFont="1" applyFill="1" applyBorder="1" applyAlignment="1">
      <alignment vertical="center"/>
    </xf>
    <xf numFmtId="164" fontId="42" fillId="0" borderId="0" xfId="5" applyNumberFormat="1" applyFont="1" applyFill="1" applyBorder="1"/>
    <xf numFmtId="3" fontId="9" fillId="5" borderId="18" xfId="5" applyNumberFormat="1" applyFont="1" applyFill="1" applyBorder="1" applyAlignment="1">
      <alignment horizontal="center" vertical="center"/>
    </xf>
    <xf numFmtId="167" fontId="42" fillId="5" borderId="10" xfId="2" applyNumberFormat="1" applyFont="1" applyFill="1" applyBorder="1" applyAlignment="1" applyProtection="1">
      <alignment vertical="center"/>
    </xf>
    <xf numFmtId="3" fontId="9" fillId="5" borderId="17" xfId="5" applyNumberFormat="1" applyFont="1" applyFill="1" applyBorder="1" applyAlignment="1">
      <alignment horizontal="center" vertical="center"/>
    </xf>
    <xf numFmtId="176" fontId="9" fillId="2" borderId="16" xfId="5" applyFont="1" applyFill="1" applyBorder="1" applyAlignment="1">
      <alignment horizontal="left" vertical="center"/>
    </xf>
    <xf numFmtId="176" fontId="9" fillId="0" borderId="85" xfId="5" applyFont="1" applyFill="1" applyBorder="1" applyAlignment="1">
      <alignment vertical="center"/>
    </xf>
    <xf numFmtId="176" fontId="9" fillId="2" borderId="86" xfId="5" applyFont="1" applyFill="1" applyBorder="1" applyAlignment="1">
      <alignment vertical="center"/>
    </xf>
    <xf numFmtId="164" fontId="9" fillId="0" borderId="87" xfId="2" applyNumberFormat="1" applyFont="1" applyFill="1" applyBorder="1" applyAlignment="1" applyProtection="1">
      <alignment vertical="center"/>
    </xf>
    <xf numFmtId="164" fontId="9" fillId="0" borderId="88" xfId="2" applyNumberFormat="1" applyFont="1" applyFill="1" applyBorder="1" applyAlignment="1" applyProtection="1">
      <alignment vertical="center"/>
    </xf>
    <xf numFmtId="164" fontId="10" fillId="2" borderId="89" xfId="2" applyNumberFormat="1" applyFont="1" applyFill="1" applyBorder="1" applyAlignment="1" applyProtection="1">
      <alignment vertical="center"/>
    </xf>
    <xf numFmtId="164" fontId="10" fillId="2" borderId="90" xfId="2" applyNumberFormat="1" applyFont="1" applyFill="1" applyBorder="1" applyAlignment="1" applyProtection="1">
      <alignment vertical="center"/>
    </xf>
    <xf numFmtId="3" fontId="9" fillId="0" borderId="87" xfId="5" applyNumberFormat="1" applyFont="1" applyFill="1" applyBorder="1" applyAlignment="1">
      <alignment horizontal="center" vertical="center"/>
    </xf>
    <xf numFmtId="167" fontId="42" fillId="0" borderId="91" xfId="5" applyNumberFormat="1" applyFont="1" applyFill="1" applyBorder="1" applyAlignment="1">
      <alignment vertical="center"/>
    </xf>
    <xf numFmtId="3" fontId="9" fillId="0" borderId="85" xfId="5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1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71" fontId="31" fillId="0" borderId="0" xfId="0" applyNumberFormat="1" applyFont="1" applyBorder="1" applyAlignment="1">
      <alignment horizontal="center" vertical="center"/>
    </xf>
    <xf numFmtId="171" fontId="31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vertical="center"/>
    </xf>
    <xf numFmtId="166" fontId="9" fillId="0" borderId="8" xfId="5" applyNumberFormat="1" applyFont="1" applyFill="1" applyBorder="1"/>
    <xf numFmtId="3" fontId="9" fillId="2" borderId="1" xfId="2" applyNumberFormat="1" applyFont="1" applyFill="1" applyBorder="1" applyAlignment="1" applyProtection="1">
      <alignment horizontal="center"/>
    </xf>
    <xf numFmtId="3" fontId="12" fillId="0" borderId="92" xfId="2" applyNumberFormat="1" applyFont="1" applyFill="1" applyBorder="1" applyAlignment="1" applyProtection="1">
      <alignment horizontal="center" vertical="center"/>
    </xf>
    <xf numFmtId="3" fontId="9" fillId="0" borderId="18" xfId="5" applyNumberFormat="1" applyFont="1" applyFill="1" applyBorder="1" applyAlignment="1">
      <alignment horizontal="center" vertical="center"/>
    </xf>
    <xf numFmtId="0" fontId="0" fillId="0" borderId="0" xfId="0"/>
    <xf numFmtId="3" fontId="9" fillId="0" borderId="18" xfId="5" applyNumberFormat="1" applyFont="1" applyFill="1" applyBorder="1" applyAlignment="1">
      <alignment horizontal="center" vertical="center"/>
    </xf>
    <xf numFmtId="0" fontId="0" fillId="0" borderId="0" xfId="0"/>
    <xf numFmtId="176" fontId="9" fillId="2" borderId="93" xfId="5" applyFont="1" applyFill="1" applyBorder="1" applyAlignment="1">
      <alignment vertical="center"/>
    </xf>
    <xf numFmtId="164" fontId="9" fillId="2" borderId="93" xfId="2" applyNumberFormat="1" applyFont="1" applyFill="1" applyBorder="1" applyAlignment="1" applyProtection="1">
      <alignment vertical="center"/>
    </xf>
    <xf numFmtId="167" fontId="42" fillId="2" borderId="93" xfId="5" applyNumberFormat="1" applyFont="1" applyFill="1" applyBorder="1" applyAlignment="1">
      <alignment vertical="center"/>
    </xf>
    <xf numFmtId="167" fontId="42" fillId="2" borderId="93" xfId="2" applyNumberFormat="1" applyFont="1" applyFill="1" applyBorder="1" applyAlignment="1" applyProtection="1">
      <alignment vertical="center"/>
    </xf>
    <xf numFmtId="3" fontId="9" fillId="0" borderId="93" xfId="2" applyNumberFormat="1" applyFont="1" applyFill="1" applyBorder="1" applyAlignment="1" applyProtection="1">
      <alignment horizontal="center" vertical="center"/>
    </xf>
    <xf numFmtId="176" fontId="9" fillId="0" borderId="93" xfId="5" applyFont="1" applyFill="1" applyBorder="1" applyAlignment="1">
      <alignment vertical="center"/>
    </xf>
    <xf numFmtId="164" fontId="9" fillId="0" borderId="93" xfId="2" applyNumberFormat="1" applyFont="1" applyFill="1" applyBorder="1" applyAlignment="1" applyProtection="1">
      <alignment vertical="center"/>
    </xf>
    <xf numFmtId="167" fontId="42" fillId="0" borderId="93" xfId="2" applyNumberFormat="1" applyFont="1" applyFill="1" applyBorder="1" applyAlignment="1" applyProtection="1">
      <alignment vertical="center"/>
    </xf>
    <xf numFmtId="164" fontId="12" fillId="0" borderId="36" xfId="2" applyNumberFormat="1" applyFont="1" applyFill="1" applyBorder="1" applyAlignment="1" applyProtection="1">
      <alignment vertical="center"/>
    </xf>
    <xf numFmtId="164" fontId="12" fillId="0" borderId="39" xfId="2" applyNumberFormat="1" applyFont="1" applyFill="1" applyBorder="1" applyAlignment="1" applyProtection="1">
      <alignment vertical="center"/>
    </xf>
    <xf numFmtId="167" fontId="42" fillId="0" borderId="93" xfId="5" applyNumberFormat="1" applyFont="1" applyFill="1" applyBorder="1" applyAlignment="1">
      <alignment vertical="center"/>
    </xf>
    <xf numFmtId="167" fontId="42" fillId="0" borderId="77" xfId="5" applyNumberFormat="1" applyFont="1" applyFill="1" applyBorder="1" applyAlignment="1">
      <alignment horizontal="center" vertical="center" wrapText="1"/>
    </xf>
    <xf numFmtId="164" fontId="9" fillId="0" borderId="93" xfId="5" applyNumberFormat="1" applyFont="1" applyFill="1" applyBorder="1" applyAlignment="1">
      <alignment vertical="center"/>
    </xf>
    <xf numFmtId="3" fontId="9" fillId="0" borderId="93" xfId="5" applyNumberFormat="1" applyFont="1" applyFill="1" applyBorder="1" applyAlignment="1">
      <alignment horizontal="center" vertical="center"/>
    </xf>
    <xf numFmtId="176" fontId="12" fillId="0" borderId="93" xfId="5" applyFont="1" applyFill="1" applyBorder="1" applyAlignment="1">
      <alignment horizontal="right" vertical="center"/>
    </xf>
    <xf numFmtId="164" fontId="12" fillId="0" borderId="93" xfId="2" applyNumberFormat="1" applyFont="1" applyFill="1" applyBorder="1" applyAlignment="1" applyProtection="1">
      <alignment vertical="center"/>
    </xf>
    <xf numFmtId="167" fontId="43" fillId="0" borderId="93" xfId="5" applyNumberFormat="1" applyFont="1" applyFill="1" applyBorder="1" applyAlignment="1">
      <alignment vertical="center"/>
    </xf>
    <xf numFmtId="164" fontId="12" fillId="0" borderId="93" xfId="2" applyNumberFormat="1" applyFont="1" applyFill="1" applyBorder="1" applyAlignment="1" applyProtection="1">
      <alignment horizontal="center" vertical="center"/>
    </xf>
    <xf numFmtId="176" fontId="9" fillId="0" borderId="94" xfId="5" applyFont="1" applyFill="1" applyBorder="1" applyAlignment="1">
      <alignment vertical="center"/>
    </xf>
    <xf numFmtId="164" fontId="9" fillId="0" borderId="94" xfId="2" applyNumberFormat="1" applyFont="1" applyFill="1" applyBorder="1" applyAlignment="1" applyProtection="1">
      <alignment vertical="center"/>
    </xf>
    <xf numFmtId="3" fontId="9" fillId="0" borderId="94" xfId="2" applyNumberFormat="1" applyFont="1" applyFill="1" applyBorder="1" applyAlignment="1" applyProtection="1">
      <alignment horizontal="center" vertical="center"/>
    </xf>
    <xf numFmtId="167" fontId="42" fillId="0" borderId="94" xfId="2" applyNumberFormat="1" applyFont="1" applyFill="1" applyBorder="1" applyAlignment="1" applyProtection="1">
      <alignment vertical="center"/>
    </xf>
    <xf numFmtId="176" fontId="9" fillId="0" borderId="95" xfId="5" applyFont="1" applyFill="1" applyBorder="1" applyAlignment="1">
      <alignment vertical="center"/>
    </xf>
    <xf numFmtId="176" fontId="9" fillId="0" borderId="96" xfId="5" applyFont="1" applyFill="1" applyBorder="1" applyAlignment="1">
      <alignment vertical="center"/>
    </xf>
    <xf numFmtId="176" fontId="9" fillId="0" borderId="102" xfId="5" applyFont="1" applyFill="1" applyBorder="1" applyAlignment="1">
      <alignment vertical="center"/>
    </xf>
    <xf numFmtId="176" fontId="9" fillId="0" borderId="103" xfId="5" applyFont="1" applyFill="1" applyBorder="1" applyAlignment="1">
      <alignment vertical="center"/>
    </xf>
    <xf numFmtId="176" fontId="9" fillId="0" borderId="104" xfId="5" applyFont="1" applyFill="1" applyBorder="1" applyAlignment="1">
      <alignment vertical="center"/>
    </xf>
    <xf numFmtId="176" fontId="9" fillId="0" borderId="105" xfId="5" applyFont="1" applyFill="1" applyBorder="1" applyAlignment="1">
      <alignment horizontal="center" vertical="center" wrapText="1"/>
    </xf>
    <xf numFmtId="176" fontId="9" fillId="0" borderId="106" xfId="5" applyFont="1" applyFill="1" applyBorder="1" applyAlignment="1">
      <alignment horizontal="center" vertical="center" wrapText="1"/>
    </xf>
    <xf numFmtId="167" fontId="42" fillId="0" borderId="107" xfId="5" applyNumberFormat="1" applyFont="1" applyFill="1" applyBorder="1" applyAlignment="1">
      <alignment horizontal="center" vertical="center" wrapText="1"/>
    </xf>
    <xf numFmtId="176" fontId="9" fillId="0" borderId="108" xfId="5" applyFont="1" applyFill="1" applyBorder="1" applyAlignment="1">
      <alignment horizontal="center" vertical="center" wrapText="1"/>
    </xf>
    <xf numFmtId="176" fontId="9" fillId="0" borderId="36" xfId="5" applyFont="1" applyFill="1" applyBorder="1" applyAlignment="1">
      <alignment vertical="center"/>
    </xf>
    <xf numFmtId="176" fontId="12" fillId="0" borderId="39" xfId="5" applyFont="1" applyFill="1" applyBorder="1" applyAlignment="1">
      <alignment horizontal="right" vertical="center"/>
    </xf>
    <xf numFmtId="176" fontId="12" fillId="0" borderId="58" xfId="5" applyFont="1" applyFill="1" applyBorder="1" applyAlignment="1">
      <alignment horizontal="right" vertical="center"/>
    </xf>
    <xf numFmtId="176" fontId="12" fillId="0" borderId="59" xfId="5" applyFont="1" applyFill="1" applyBorder="1" applyAlignment="1">
      <alignment horizontal="right" vertical="center"/>
    </xf>
    <xf numFmtId="176" fontId="12" fillId="0" borderId="60" xfId="5" applyFont="1" applyFill="1" applyBorder="1" applyAlignment="1">
      <alignment horizontal="right" vertical="center"/>
    </xf>
    <xf numFmtId="167" fontId="43" fillId="0" borderId="72" xfId="5" applyNumberFormat="1" applyFont="1" applyFill="1" applyBorder="1" applyAlignment="1">
      <alignment vertical="center"/>
    </xf>
    <xf numFmtId="3" fontId="9" fillId="2" borderId="93" xfId="2" applyNumberFormat="1" applyFont="1" applyFill="1" applyBorder="1" applyAlignment="1" applyProtection="1">
      <alignment horizontal="right" vertical="center"/>
    </xf>
    <xf numFmtId="3" fontId="9" fillId="2" borderId="93" xfId="3" applyNumberFormat="1" applyFont="1" applyFill="1" applyBorder="1" applyAlignment="1" applyProtection="1">
      <alignment horizontal="center" vertical="center"/>
    </xf>
    <xf numFmtId="3" fontId="42" fillId="2" borderId="93" xfId="2" applyNumberFormat="1" applyFont="1" applyFill="1" applyBorder="1" applyAlignment="1" applyProtection="1">
      <alignment horizontal="right" vertical="center"/>
    </xf>
    <xf numFmtId="176" fontId="9" fillId="0" borderId="93" xfId="5" applyFont="1" applyFill="1" applyBorder="1" applyAlignment="1">
      <alignment horizontal="center" vertical="center"/>
    </xf>
    <xf numFmtId="3" fontId="9" fillId="0" borderId="93" xfId="2" applyNumberFormat="1" applyFont="1" applyFill="1" applyBorder="1" applyAlignment="1" applyProtection="1">
      <alignment horizontal="right" vertical="center"/>
    </xf>
    <xf numFmtId="3" fontId="9" fillId="0" borderId="93" xfId="3" applyNumberFormat="1" applyFont="1" applyFill="1" applyBorder="1" applyAlignment="1" applyProtection="1">
      <alignment horizontal="center" vertical="center"/>
    </xf>
    <xf numFmtId="3" fontId="42" fillId="0" borderId="93" xfId="2" applyNumberFormat="1" applyFont="1" applyFill="1" applyBorder="1" applyAlignment="1" applyProtection="1">
      <alignment horizontal="right" vertical="center"/>
    </xf>
    <xf numFmtId="3" fontId="42" fillId="0" borderId="93" xfId="5" applyNumberFormat="1" applyFont="1" applyFill="1" applyBorder="1" applyAlignment="1">
      <alignment horizontal="right" vertical="center"/>
    </xf>
    <xf numFmtId="3" fontId="9" fillId="2" borderId="93" xfId="5" applyNumberFormat="1" applyFont="1" applyFill="1" applyBorder="1" applyAlignment="1">
      <alignment horizontal="center" vertical="center"/>
    </xf>
    <xf numFmtId="3" fontId="12" fillId="2" borderId="93" xfId="5" applyNumberFormat="1" applyFont="1" applyFill="1" applyBorder="1" applyAlignment="1">
      <alignment horizontal="center" vertical="center"/>
    </xf>
    <xf numFmtId="3" fontId="12" fillId="0" borderId="93" xfId="5" applyNumberFormat="1" applyFont="1" applyFill="1" applyBorder="1" applyAlignment="1">
      <alignment horizontal="center" vertical="center"/>
    </xf>
    <xf numFmtId="176" fontId="9" fillId="0" borderId="26" xfId="5" applyFont="1" applyFill="1" applyBorder="1" applyAlignment="1">
      <alignment horizontal="left" vertical="center"/>
    </xf>
    <xf numFmtId="3" fontId="9" fillId="0" borderId="73" xfId="5" applyNumberFormat="1" applyFont="1" applyFill="1" applyBorder="1" applyAlignment="1">
      <alignment horizontal="center" vertical="center"/>
    </xf>
    <xf numFmtId="167" fontId="42" fillId="0" borderId="11" xfId="5" applyNumberFormat="1" applyFont="1" applyFill="1" applyBorder="1" applyAlignment="1">
      <alignment vertical="center"/>
    </xf>
    <xf numFmtId="164" fontId="9" fillId="0" borderId="36" xfId="2" applyNumberFormat="1" applyFont="1" applyFill="1" applyBorder="1" applyAlignment="1" applyProtection="1">
      <alignment vertical="center"/>
    </xf>
    <xf numFmtId="176" fontId="12" fillId="0" borderId="5" xfId="5" applyFont="1" applyFill="1" applyBorder="1" applyAlignment="1">
      <alignment vertical="center"/>
    </xf>
    <xf numFmtId="164" fontId="12" fillId="0" borderId="72" xfId="2" applyNumberFormat="1" applyFont="1" applyFill="1" applyBorder="1" applyAlignment="1" applyProtection="1"/>
    <xf numFmtId="164" fontId="12" fillId="0" borderId="37" xfId="2" applyNumberFormat="1" applyFont="1" applyFill="1" applyBorder="1" applyAlignment="1" applyProtection="1"/>
    <xf numFmtId="164" fontId="12" fillId="0" borderId="36" xfId="2" applyNumberFormat="1" applyFont="1" applyFill="1" applyBorder="1" applyAlignment="1" applyProtection="1"/>
    <xf numFmtId="167" fontId="43" fillId="0" borderId="72" xfId="5" applyNumberFormat="1" applyFont="1" applyFill="1" applyBorder="1"/>
    <xf numFmtId="164" fontId="12" fillId="0" borderId="39" xfId="2" applyNumberFormat="1" applyFont="1" applyFill="1" applyBorder="1" applyAlignment="1" applyProtection="1"/>
    <xf numFmtId="176" fontId="9" fillId="2" borderId="93" xfId="5" applyFont="1" applyFill="1" applyBorder="1" applyAlignment="1">
      <alignment horizontal="left" vertical="center"/>
    </xf>
    <xf numFmtId="176" fontId="9" fillId="2" borderId="93" xfId="5" applyFont="1" applyFill="1" applyBorder="1" applyAlignment="1">
      <alignment horizontal="right"/>
    </xf>
    <xf numFmtId="164" fontId="9" fillId="2" borderId="93" xfId="2" applyNumberFormat="1" applyFont="1" applyFill="1" applyBorder="1" applyAlignment="1" applyProtection="1"/>
    <xf numFmtId="164" fontId="10" fillId="2" borderId="93" xfId="2" applyNumberFormat="1" applyFont="1" applyFill="1" applyBorder="1" applyAlignment="1" applyProtection="1"/>
    <xf numFmtId="167" fontId="42" fillId="2" borderId="93" xfId="5" applyNumberFormat="1" applyFont="1" applyFill="1" applyBorder="1"/>
    <xf numFmtId="3" fontId="9" fillId="2" borderId="93" xfId="2" applyNumberFormat="1" applyFont="1" applyFill="1" applyBorder="1" applyAlignment="1" applyProtection="1">
      <alignment horizontal="center"/>
    </xf>
    <xf numFmtId="176" fontId="9" fillId="0" borderId="93" xfId="5" applyFont="1" applyFill="1" applyBorder="1" applyAlignment="1">
      <alignment horizontal="right"/>
    </xf>
    <xf numFmtId="164" fontId="9" fillId="0" borderId="93" xfId="2" applyNumberFormat="1" applyFont="1" applyFill="1" applyBorder="1" applyAlignment="1" applyProtection="1"/>
    <xf numFmtId="167" fontId="42" fillId="0" borderId="93" xfId="5" applyNumberFormat="1" applyFont="1" applyFill="1" applyBorder="1"/>
    <xf numFmtId="3" fontId="9" fillId="0" borderId="93" xfId="2" applyNumberFormat="1" applyFont="1" applyFill="1" applyBorder="1" applyAlignment="1" applyProtection="1">
      <alignment horizontal="center"/>
    </xf>
    <xf numFmtId="164" fontId="9" fillId="0" borderId="37" xfId="2" applyNumberFormat="1" applyFont="1" applyFill="1" applyBorder="1" applyAlignment="1" applyProtection="1">
      <alignment vertical="center"/>
    </xf>
    <xf numFmtId="176" fontId="12" fillId="0" borderId="0" xfId="5" applyFont="1" applyFill="1" applyBorder="1"/>
    <xf numFmtId="164" fontId="8" fillId="0" borderId="0" xfId="0" applyNumberFormat="1" applyFont="1" applyFill="1" applyBorder="1"/>
    <xf numFmtId="0" fontId="0" fillId="0" borderId="0" xfId="0"/>
    <xf numFmtId="4" fontId="48" fillId="7" borderId="0" xfId="17" applyNumberFormat="1" applyFill="1"/>
    <xf numFmtId="176" fontId="9" fillId="0" borderId="0" xfId="5" applyFont="1" applyFill="1" applyBorder="1" applyAlignment="1">
      <alignment horizontal="center"/>
    </xf>
    <xf numFmtId="176" fontId="9" fillId="0" borderId="0" xfId="5" applyFont="1" applyFill="1" applyBorder="1" applyAlignment="1">
      <alignment horizontal="center" vertical="center"/>
    </xf>
    <xf numFmtId="176" fontId="9" fillId="0" borderId="2" xfId="5" applyFont="1" applyFill="1" applyBorder="1" applyAlignment="1">
      <alignment horizontal="center" vertical="center"/>
    </xf>
    <xf numFmtId="176" fontId="9" fillId="0" borderId="3" xfId="5" applyFont="1" applyFill="1" applyBorder="1" applyAlignment="1">
      <alignment horizontal="center" vertical="center"/>
    </xf>
    <xf numFmtId="49" fontId="9" fillId="0" borderId="4" xfId="5" applyNumberFormat="1" applyFont="1" applyFill="1" applyBorder="1" applyAlignment="1">
      <alignment horizontal="center" vertical="center" wrapText="1"/>
    </xf>
    <xf numFmtId="176" fontId="9" fillId="0" borderId="2" xfId="5" applyFont="1" applyFill="1" applyBorder="1" applyAlignment="1">
      <alignment horizontal="center"/>
    </xf>
    <xf numFmtId="176" fontId="9" fillId="0" borderId="3" xfId="5" applyFont="1" applyFill="1" applyBorder="1" applyAlignment="1">
      <alignment horizontal="center"/>
    </xf>
    <xf numFmtId="176" fontId="12" fillId="0" borderId="4" xfId="5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center" vertical="center" wrapText="1"/>
    </xf>
    <xf numFmtId="176" fontId="9" fillId="0" borderId="43" xfId="5" applyFont="1" applyFill="1" applyBorder="1" applyAlignment="1">
      <alignment horizontal="center"/>
    </xf>
    <xf numFmtId="176" fontId="9" fillId="0" borderId="45" xfId="5" applyFont="1" applyFill="1" applyBorder="1" applyAlignment="1">
      <alignment horizontal="center" vertical="center"/>
    </xf>
    <xf numFmtId="49" fontId="9" fillId="0" borderId="2" xfId="5" applyNumberFormat="1" applyFont="1" applyFill="1" applyBorder="1" applyAlignment="1">
      <alignment horizontal="center" vertical="center" wrapText="1"/>
    </xf>
    <xf numFmtId="176" fontId="12" fillId="0" borderId="0" xfId="5" applyFont="1" applyFill="1" applyBorder="1" applyAlignment="1">
      <alignment horizontal="left"/>
    </xf>
    <xf numFmtId="176" fontId="13" fillId="0" borderId="0" xfId="5" applyFont="1" applyFill="1" applyBorder="1" applyAlignment="1">
      <alignment horizontal="right"/>
    </xf>
    <xf numFmtId="176" fontId="9" fillId="0" borderId="43" xfId="5" applyFont="1" applyFill="1" applyBorder="1" applyAlignment="1">
      <alignment horizontal="center" vertical="center"/>
    </xf>
    <xf numFmtId="176" fontId="9" fillId="0" borderId="51" xfId="5" applyFont="1" applyFill="1" applyBorder="1" applyAlignment="1">
      <alignment horizontal="center" vertical="center"/>
    </xf>
    <xf numFmtId="176" fontId="9" fillId="0" borderId="40" xfId="5" applyFont="1" applyFill="1" applyBorder="1" applyAlignment="1">
      <alignment horizontal="center"/>
    </xf>
    <xf numFmtId="176" fontId="9" fillId="0" borderId="57" xfId="5" applyFont="1" applyFill="1" applyBorder="1" applyAlignment="1">
      <alignment horizontal="center" vertical="center"/>
    </xf>
    <xf numFmtId="176" fontId="9" fillId="0" borderId="44" xfId="5" applyFont="1" applyFill="1" applyBorder="1" applyAlignment="1">
      <alignment horizontal="center" vertical="center"/>
    </xf>
    <xf numFmtId="3" fontId="9" fillId="0" borderId="13" xfId="2" applyNumberFormat="1" applyFont="1" applyFill="1" applyBorder="1" applyAlignment="1" applyProtection="1">
      <alignment horizontal="right" vertical="center"/>
    </xf>
    <xf numFmtId="3" fontId="9" fillId="0" borderId="13" xfId="3" applyNumberFormat="1" applyFont="1" applyFill="1" applyBorder="1" applyAlignment="1" applyProtection="1">
      <alignment horizontal="right" vertical="center"/>
    </xf>
    <xf numFmtId="3" fontId="9" fillId="0" borderId="14" xfId="2" applyNumberFormat="1" applyFont="1" applyFill="1" applyBorder="1" applyAlignment="1" applyProtection="1">
      <alignment horizontal="right" vertical="center"/>
    </xf>
    <xf numFmtId="3" fontId="9" fillId="0" borderId="18" xfId="5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176" fontId="9" fillId="0" borderId="74" xfId="5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6" fontId="0" fillId="0" borderId="0" xfId="0" applyNumberFormat="1" applyFont="1" applyAlignment="1">
      <alignment horizontal="left"/>
    </xf>
    <xf numFmtId="176" fontId="9" fillId="0" borderId="11" xfId="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76" fontId="7" fillId="0" borderId="0" xfId="5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171" fontId="18" fillId="0" borderId="2" xfId="5" applyNumberFormat="1" applyFont="1" applyFill="1" applyBorder="1" applyAlignment="1">
      <alignment horizontal="center"/>
    </xf>
    <xf numFmtId="176" fontId="1" fillId="0" borderId="45" xfId="5" applyFont="1" applyFill="1" applyBorder="1" applyAlignment="1">
      <alignment horizontal="center"/>
    </xf>
    <xf numFmtId="171" fontId="18" fillId="0" borderId="1" xfId="5" applyNumberFormat="1" applyFont="1" applyFill="1" applyBorder="1" applyAlignment="1">
      <alignment horizontal="center"/>
    </xf>
    <xf numFmtId="176" fontId="36" fillId="0" borderId="77" xfId="5" applyFont="1" applyFill="1" applyBorder="1" applyAlignment="1">
      <alignment horizontal="center"/>
    </xf>
    <xf numFmtId="176" fontId="36" fillId="0" borderId="25" xfId="5" applyFont="1" applyFill="1" applyBorder="1" applyAlignment="1">
      <alignment horizontal="center"/>
    </xf>
    <xf numFmtId="176" fontId="18" fillId="0" borderId="11" xfId="5" applyFont="1" applyFill="1" applyBorder="1" applyAlignment="1">
      <alignment horizontal="center"/>
    </xf>
    <xf numFmtId="0" fontId="0" fillId="0" borderId="0" xfId="0"/>
    <xf numFmtId="166" fontId="0" fillId="2" borderId="0" xfId="0" applyNumberFormat="1" applyFill="1" applyBorder="1" applyAlignment="1">
      <alignment horizontal="center" vertical="center"/>
    </xf>
    <xf numFmtId="0" fontId="1" fillId="0" borderId="0" xfId="10" applyFill="1" applyBorder="1" applyAlignment="1">
      <alignment horizontal="center"/>
    </xf>
    <xf numFmtId="0" fontId="1" fillId="0" borderId="0" xfId="10" applyFill="1" applyBorder="1" applyAlignment="1">
      <alignment horizontal="center" vertical="center"/>
    </xf>
    <xf numFmtId="3" fontId="9" fillId="0" borderId="93" xfId="2" applyNumberFormat="1" applyFont="1" applyFill="1" applyBorder="1" applyAlignment="1" applyProtection="1">
      <alignment horizontal="right" vertical="center"/>
    </xf>
    <xf numFmtId="176" fontId="9" fillId="0" borderId="97" xfId="5" applyFont="1" applyFill="1" applyBorder="1" applyAlignment="1">
      <alignment horizontal="center" vertical="center"/>
    </xf>
    <xf numFmtId="176" fontId="9" fillId="0" borderId="98" xfId="5" applyFont="1" applyFill="1" applyBorder="1" applyAlignment="1">
      <alignment horizontal="center" vertical="center"/>
    </xf>
    <xf numFmtId="176" fontId="9" fillId="0" borderId="99" xfId="5" applyFont="1" applyFill="1" applyBorder="1" applyAlignment="1">
      <alignment horizontal="center" vertical="center"/>
    </xf>
    <xf numFmtId="176" fontId="9" fillId="0" borderId="100" xfId="5" applyFont="1" applyFill="1" applyBorder="1" applyAlignment="1">
      <alignment horizontal="center" vertical="center"/>
    </xf>
    <xf numFmtId="49" fontId="9" fillId="0" borderId="101" xfId="5" applyNumberFormat="1" applyFont="1" applyFill="1" applyBorder="1" applyAlignment="1">
      <alignment horizontal="center" vertical="center" wrapText="1"/>
    </xf>
    <xf numFmtId="49" fontId="9" fillId="0" borderId="109" xfId="5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18">
    <cellStyle name="Excel Built-in Comma" xfId="2" xr:uid="{00000000-0005-0000-0000-000000000000}"/>
    <cellStyle name="Excel Built-in Currency" xfId="3" xr:uid="{00000000-0005-0000-0000-000001000000}"/>
    <cellStyle name="Excel Built-in Heading 1" xfId="4" xr:uid="{00000000-0005-0000-0000-000002000000}"/>
    <cellStyle name="Excel Built-in Normal 1" xfId="5" xr:uid="{00000000-0005-0000-0000-000003000000}"/>
    <cellStyle name="Heading" xfId="6" xr:uid="{00000000-0005-0000-0000-000004000000}"/>
    <cellStyle name="Heading 1" xfId="1" builtinId="16" customBuiltin="1"/>
    <cellStyle name="Heading1" xfId="7" xr:uid="{00000000-0005-0000-0000-000006000000}"/>
    <cellStyle name="Heading1 1" xfId="8" xr:uid="{00000000-0005-0000-0000-000007000000}"/>
    <cellStyle name="Heading1 2" xfId="9" xr:uid="{00000000-0005-0000-0000-000008000000}"/>
    <cellStyle name="Neutral" xfId="17" builtinId="28"/>
    <cellStyle name="Normal" xfId="0" builtinId="0" customBuiltin="1"/>
    <cellStyle name="Normal 2" xfId="10" xr:uid="{00000000-0005-0000-0000-00000A000000}"/>
    <cellStyle name="Result" xfId="11" xr:uid="{00000000-0005-0000-0000-00000B000000}"/>
    <cellStyle name="Result 1" xfId="12" xr:uid="{00000000-0005-0000-0000-00000C000000}"/>
    <cellStyle name="Result 2" xfId="13" xr:uid="{00000000-0005-0000-0000-00000D000000}"/>
    <cellStyle name="Result2" xfId="14" xr:uid="{00000000-0005-0000-0000-00000E000000}"/>
    <cellStyle name="Result2 1" xfId="15" xr:uid="{00000000-0005-0000-0000-00000F000000}"/>
    <cellStyle name="Result2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269"/>
  <sheetViews>
    <sheetView topLeftCell="A55" zoomScaleNormal="100" workbookViewId="0">
      <selection activeCell="P78" sqref="P78"/>
    </sheetView>
  </sheetViews>
  <sheetFormatPr defaultRowHeight="14.25" x14ac:dyDescent="0.2"/>
  <cols>
    <col min="1" max="1" width="2.875" style="1" customWidth="1"/>
    <col min="2" max="2" width="11.625" style="49" customWidth="1"/>
    <col min="3" max="3" width="23.625" style="49" customWidth="1"/>
    <col min="4" max="4" width="6.125" style="49" hidden="1" customWidth="1"/>
    <col min="5" max="5" width="6.625" style="49" hidden="1" customWidth="1"/>
    <col min="6" max="6" width="6.375" style="49" hidden="1" customWidth="1"/>
    <col min="7" max="7" width="5.875" style="49" hidden="1" customWidth="1"/>
    <col min="8" max="8" width="9.875" style="49" hidden="1" customWidth="1"/>
    <col min="9" max="9" width="10.375" style="49" hidden="1" customWidth="1"/>
    <col min="10" max="10" width="8.75" style="49" customWidth="1"/>
    <col min="11" max="11" width="9" style="49" customWidth="1"/>
    <col min="12" max="12" width="9.25" style="49" customWidth="1"/>
    <col min="13" max="13" width="8.875" style="49" customWidth="1"/>
    <col min="14" max="14" width="9.75" style="49" customWidth="1"/>
    <col min="15" max="15" width="8.5" style="599" customWidth="1"/>
    <col min="16" max="16" width="9.375" style="49" customWidth="1"/>
    <col min="17" max="17" width="9.375" style="51" customWidth="1"/>
    <col min="18" max="18" width="3.625" style="3" customWidth="1"/>
    <col min="19" max="1023" width="9.25" style="5" customWidth="1"/>
  </cols>
  <sheetData>
    <row r="1" spans="1:18" ht="15" thickBot="1" x14ac:dyDescent="0.25">
      <c r="B1" s="750" t="s">
        <v>0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</row>
    <row r="2" spans="1:18" ht="14.25" customHeight="1" thickBot="1" x14ac:dyDescent="0.25">
      <c r="B2" s="7"/>
      <c r="C2" s="7"/>
      <c r="D2" s="750">
        <v>2013</v>
      </c>
      <c r="E2" s="750"/>
      <c r="F2" s="750">
        <v>2014</v>
      </c>
      <c r="G2" s="750"/>
      <c r="H2" s="755">
        <v>2015</v>
      </c>
      <c r="I2" s="755"/>
      <c r="J2" s="755">
        <v>2016</v>
      </c>
      <c r="K2" s="755"/>
      <c r="L2" s="756">
        <v>2017</v>
      </c>
      <c r="M2" s="756"/>
      <c r="N2" s="756">
        <v>2018</v>
      </c>
      <c r="O2" s="756"/>
      <c r="P2" s="756"/>
      <c r="Q2" s="754" t="s">
        <v>1</v>
      </c>
    </row>
    <row r="3" spans="1:18" s="16" customFormat="1" ht="13.5" customHeight="1" thickBot="1" x14ac:dyDescent="0.25">
      <c r="A3" s="8"/>
      <c r="B3" s="9" t="s">
        <v>2</v>
      </c>
      <c r="C3" s="9" t="s">
        <v>3</v>
      </c>
      <c r="D3" s="10" t="s">
        <v>4</v>
      </c>
      <c r="E3" s="10" t="s">
        <v>5</v>
      </c>
      <c r="F3" s="10" t="s">
        <v>4</v>
      </c>
      <c r="G3" s="10" t="s">
        <v>5</v>
      </c>
      <c r="H3" s="11" t="s">
        <v>6</v>
      </c>
      <c r="I3" s="12" t="s">
        <v>4</v>
      </c>
      <c r="J3" s="11" t="s">
        <v>6</v>
      </c>
      <c r="K3" s="12" t="s">
        <v>4</v>
      </c>
      <c r="L3" s="11" t="s">
        <v>6</v>
      </c>
      <c r="M3" s="13" t="s">
        <v>4</v>
      </c>
      <c r="N3" s="11" t="s">
        <v>6</v>
      </c>
      <c r="O3" s="593" t="s">
        <v>456</v>
      </c>
      <c r="P3" s="13" t="s">
        <v>8</v>
      </c>
      <c r="Q3" s="754"/>
      <c r="R3" s="14"/>
    </row>
    <row r="4" spans="1:18" s="16" customFormat="1" ht="12.75" x14ac:dyDescent="0.2">
      <c r="A4" s="8">
        <v>1</v>
      </c>
      <c r="B4" s="17" t="s">
        <v>9</v>
      </c>
      <c r="C4" s="17" t="s">
        <v>10</v>
      </c>
      <c r="D4" s="18"/>
      <c r="E4" s="19"/>
      <c r="F4" s="19"/>
      <c r="G4" s="20"/>
      <c r="H4" s="21">
        <v>666221</v>
      </c>
      <c r="I4" s="22">
        <v>666002.39</v>
      </c>
      <c r="J4" s="21">
        <v>796812</v>
      </c>
      <c r="K4" s="22">
        <v>797794</v>
      </c>
      <c r="L4" s="21">
        <v>783761</v>
      </c>
      <c r="M4" s="22">
        <v>783569</v>
      </c>
      <c r="N4" s="23">
        <v>810629</v>
      </c>
      <c r="O4" s="594">
        <v>810412</v>
      </c>
      <c r="P4" s="22">
        <v>810629</v>
      </c>
      <c r="Q4" s="24">
        <v>857082</v>
      </c>
      <c r="R4" s="14">
        <f>A4</f>
        <v>1</v>
      </c>
    </row>
    <row r="5" spans="1:18" s="16" customFormat="1" ht="12.75" x14ac:dyDescent="0.2">
      <c r="A5" s="8">
        <v>2</v>
      </c>
      <c r="B5" s="25" t="s">
        <v>11</v>
      </c>
      <c r="C5" s="25" t="s">
        <v>12</v>
      </c>
      <c r="D5" s="26"/>
      <c r="E5" s="27"/>
      <c r="F5" s="27"/>
      <c r="G5" s="28"/>
      <c r="H5" s="29">
        <v>0</v>
      </c>
      <c r="I5" s="30">
        <v>0.42</v>
      </c>
      <c r="J5" s="29">
        <v>0</v>
      </c>
      <c r="K5" s="30">
        <v>33.090000000000003</v>
      </c>
      <c r="L5" s="29">
        <v>0</v>
      </c>
      <c r="M5" s="30">
        <v>126.88</v>
      </c>
      <c r="N5" s="31">
        <v>0</v>
      </c>
      <c r="O5" s="595">
        <v>60</v>
      </c>
      <c r="P5" s="30">
        <v>60</v>
      </c>
      <c r="Q5" s="32">
        <v>0</v>
      </c>
      <c r="R5" s="14">
        <f>A5</f>
        <v>2</v>
      </c>
    </row>
    <row r="6" spans="1:18" s="16" customFormat="1" ht="12.75" x14ac:dyDescent="0.2">
      <c r="A6" s="8">
        <v>3</v>
      </c>
      <c r="B6" s="33" t="s">
        <v>13</v>
      </c>
      <c r="C6" s="33" t="s">
        <v>14</v>
      </c>
      <c r="D6" s="18"/>
      <c r="E6" s="19"/>
      <c r="F6" s="19"/>
      <c r="G6" s="20"/>
      <c r="H6" s="34">
        <v>13000</v>
      </c>
      <c r="I6" s="35">
        <v>15166.85</v>
      </c>
      <c r="J6" s="34">
        <v>13000</v>
      </c>
      <c r="K6" s="35">
        <v>9643</v>
      </c>
      <c r="L6" s="34">
        <v>17000</v>
      </c>
      <c r="M6" s="35">
        <v>11773</v>
      </c>
      <c r="N6" s="36">
        <v>13000</v>
      </c>
      <c r="O6" s="596">
        <v>11300</v>
      </c>
      <c r="P6" s="35">
        <v>8896</v>
      </c>
      <c r="Q6" s="54">
        <v>9000</v>
      </c>
      <c r="R6" s="14">
        <f>A6</f>
        <v>3</v>
      </c>
    </row>
    <row r="7" spans="1:18" s="16" customFormat="1" ht="13.5" thickBot="1" x14ac:dyDescent="0.25">
      <c r="A7" s="8">
        <v>4</v>
      </c>
      <c r="B7" s="37" t="s">
        <v>15</v>
      </c>
      <c r="C7" s="37" t="s">
        <v>16</v>
      </c>
      <c r="D7" s="26"/>
      <c r="E7" s="27"/>
      <c r="F7" s="27"/>
      <c r="G7" s="28"/>
      <c r="H7" s="38">
        <v>1000</v>
      </c>
      <c r="I7" s="39">
        <v>12235.49</v>
      </c>
      <c r="J7" s="38">
        <v>1000</v>
      </c>
      <c r="K7" s="39">
        <v>9307</v>
      </c>
      <c r="L7" s="38">
        <v>1000</v>
      </c>
      <c r="M7" s="39">
        <v>0</v>
      </c>
      <c r="N7" s="40">
        <v>0</v>
      </c>
      <c r="O7" s="597">
        <v>0</v>
      </c>
      <c r="P7" s="39">
        <v>0</v>
      </c>
      <c r="Q7" s="41">
        <v>0</v>
      </c>
      <c r="R7" s="14">
        <f>A7</f>
        <v>4</v>
      </c>
    </row>
    <row r="8" spans="1:18" ht="15" thickBot="1" x14ac:dyDescent="0.25">
      <c r="B8" s="42"/>
      <c r="C8" s="43" t="s">
        <v>17</v>
      </c>
      <c r="D8" s="44"/>
      <c r="E8" s="44"/>
      <c r="F8" s="44"/>
      <c r="G8" s="44"/>
      <c r="H8" s="45">
        <f t="shared" ref="H8:Q8" si="0">SUM(H4:H7)</f>
        <v>680221</v>
      </c>
      <c r="I8" s="46">
        <f t="shared" si="0"/>
        <v>693405.15</v>
      </c>
      <c r="J8" s="46">
        <f t="shared" si="0"/>
        <v>810812</v>
      </c>
      <c r="K8" s="46">
        <f t="shared" si="0"/>
        <v>816777.09</v>
      </c>
      <c r="L8" s="46">
        <f t="shared" si="0"/>
        <v>801761</v>
      </c>
      <c r="M8" s="47">
        <f t="shared" si="0"/>
        <v>795468.88</v>
      </c>
      <c r="N8" s="45">
        <f t="shared" si="0"/>
        <v>823629</v>
      </c>
      <c r="O8" s="598">
        <f t="shared" si="0"/>
        <v>821772</v>
      </c>
      <c r="P8" s="47">
        <f t="shared" si="0"/>
        <v>819585</v>
      </c>
      <c r="Q8" s="48">
        <f t="shared" si="0"/>
        <v>866082</v>
      </c>
      <c r="R8" s="14"/>
    </row>
    <row r="9" spans="1:18" ht="7.5" customHeight="1" x14ac:dyDescent="0.2">
      <c r="I9" s="50"/>
      <c r="R9" s="14"/>
    </row>
    <row r="10" spans="1:18" ht="15" thickBot="1" x14ac:dyDescent="0.25">
      <c r="B10" s="750" t="s">
        <v>18</v>
      </c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14"/>
    </row>
    <row r="11" spans="1:18" ht="15" thickBot="1" x14ac:dyDescent="0.25">
      <c r="B11" s="52"/>
      <c r="C11" s="52"/>
      <c r="D11" s="751">
        <v>2013</v>
      </c>
      <c r="E11" s="751"/>
      <c r="F11" s="751">
        <v>2014</v>
      </c>
      <c r="G11" s="751"/>
      <c r="H11" s="752">
        <v>2015</v>
      </c>
      <c r="I11" s="752"/>
      <c r="J11" s="752">
        <v>2016</v>
      </c>
      <c r="K11" s="752"/>
      <c r="L11" s="753">
        <v>2017</v>
      </c>
      <c r="M11" s="753"/>
      <c r="N11" s="752">
        <f>$N$2</f>
        <v>2018</v>
      </c>
      <c r="O11" s="752"/>
      <c r="P11" s="752"/>
      <c r="Q11" s="754" t="str">
        <f>$Q$2</f>
        <v>2019 Proposed</v>
      </c>
      <c r="R11" s="14"/>
    </row>
    <row r="12" spans="1:18" s="16" customFormat="1" ht="24.75" customHeight="1" thickBot="1" x14ac:dyDescent="0.25">
      <c r="A12" s="8"/>
      <c r="B12" s="9" t="s">
        <v>2</v>
      </c>
      <c r="C12" s="9" t="s">
        <v>3</v>
      </c>
      <c r="D12" s="10" t="s">
        <v>4</v>
      </c>
      <c r="E12" s="10" t="s">
        <v>5</v>
      </c>
      <c r="F12" s="10" t="s">
        <v>4</v>
      </c>
      <c r="G12" s="10" t="s">
        <v>5</v>
      </c>
      <c r="H12" s="11" t="s">
        <v>6</v>
      </c>
      <c r="I12" s="12" t="s">
        <v>4</v>
      </c>
      <c r="J12" s="11" t="s">
        <v>6</v>
      </c>
      <c r="K12" s="12" t="s">
        <v>4</v>
      </c>
      <c r="L12" s="11" t="s">
        <v>6</v>
      </c>
      <c r="M12" s="13" t="str">
        <f>$M$3</f>
        <v>Actual</v>
      </c>
      <c r="N12" s="11" t="s">
        <v>6</v>
      </c>
      <c r="O12" s="593" t="str">
        <f>$O$3</f>
        <v>As of 10/31</v>
      </c>
      <c r="P12" s="13" t="s">
        <v>8</v>
      </c>
      <c r="Q12" s="754"/>
      <c r="R12" s="14"/>
    </row>
    <row r="13" spans="1:18" x14ac:dyDescent="0.2">
      <c r="A13" s="1">
        <v>5</v>
      </c>
      <c r="B13" s="33" t="s">
        <v>19</v>
      </c>
      <c r="C13" s="33" t="s">
        <v>20</v>
      </c>
      <c r="D13" s="18"/>
      <c r="E13" s="19"/>
      <c r="F13" s="19"/>
      <c r="G13" s="20"/>
      <c r="H13" s="34">
        <v>36366</v>
      </c>
      <c r="I13" s="35">
        <v>36731.11</v>
      </c>
      <c r="J13" s="34">
        <v>36716</v>
      </c>
      <c r="K13" s="35">
        <v>36821</v>
      </c>
      <c r="L13" s="34">
        <v>36803</v>
      </c>
      <c r="M13" s="35">
        <v>36790</v>
      </c>
      <c r="N13" s="23">
        <v>36773</v>
      </c>
      <c r="O13" s="596">
        <v>5516</v>
      </c>
      <c r="P13" s="35">
        <v>36773</v>
      </c>
      <c r="Q13" s="24">
        <v>36753</v>
      </c>
      <c r="R13" s="14">
        <f t="shared" ref="R13:R23" si="1">A13</f>
        <v>5</v>
      </c>
    </row>
    <row r="14" spans="1:18" x14ac:dyDescent="0.2">
      <c r="A14" s="1">
        <v>6</v>
      </c>
      <c r="B14" s="25" t="s">
        <v>21</v>
      </c>
      <c r="C14" s="25" t="s">
        <v>22</v>
      </c>
      <c r="D14" s="26"/>
      <c r="E14" s="27"/>
      <c r="F14" s="27"/>
      <c r="G14" s="28"/>
      <c r="H14" s="29">
        <v>11554</v>
      </c>
      <c r="I14" s="30">
        <v>11099.4</v>
      </c>
      <c r="J14" s="29">
        <v>11000</v>
      </c>
      <c r="K14" s="30">
        <v>11888.33</v>
      </c>
      <c r="L14" s="29">
        <v>11000</v>
      </c>
      <c r="M14" s="30">
        <v>13529.21</v>
      </c>
      <c r="N14" s="53">
        <v>12000</v>
      </c>
      <c r="O14" s="595">
        <v>13603</v>
      </c>
      <c r="P14" s="30">
        <v>13603</v>
      </c>
      <c r="Q14" s="41">
        <v>13000</v>
      </c>
      <c r="R14" s="14">
        <f t="shared" si="1"/>
        <v>6</v>
      </c>
    </row>
    <row r="15" spans="1:18" x14ac:dyDescent="0.2">
      <c r="A15" s="1">
        <v>7</v>
      </c>
      <c r="B15" s="33" t="s">
        <v>23</v>
      </c>
      <c r="C15" s="33" t="s">
        <v>24</v>
      </c>
      <c r="D15" s="18"/>
      <c r="E15" s="19"/>
      <c r="F15" s="19"/>
      <c r="G15" s="20"/>
      <c r="H15" s="34">
        <v>134476</v>
      </c>
      <c r="I15" s="35">
        <v>134476.14000000001</v>
      </c>
      <c r="J15" s="34">
        <v>134476</v>
      </c>
      <c r="K15" s="35">
        <v>134476</v>
      </c>
      <c r="L15" s="34">
        <v>134000</v>
      </c>
      <c r="M15" s="35">
        <v>134476</v>
      </c>
      <c r="N15" s="36">
        <v>145562</v>
      </c>
      <c r="O15" s="596">
        <v>145562</v>
      </c>
      <c r="P15" s="35">
        <v>145562</v>
      </c>
      <c r="Q15" s="54">
        <v>146230</v>
      </c>
      <c r="R15" s="14">
        <f t="shared" si="1"/>
        <v>7</v>
      </c>
    </row>
    <row r="16" spans="1:18" x14ac:dyDescent="0.2">
      <c r="A16" s="1">
        <v>8</v>
      </c>
      <c r="B16" s="25" t="s">
        <v>25</v>
      </c>
      <c r="C16" s="25" t="s">
        <v>26</v>
      </c>
      <c r="D16" s="26">
        <v>7746</v>
      </c>
      <c r="E16" s="27"/>
      <c r="F16" s="27">
        <v>7737</v>
      </c>
      <c r="G16" s="28"/>
      <c r="H16" s="29">
        <v>7700</v>
      </c>
      <c r="I16" s="30">
        <v>7735.13</v>
      </c>
      <c r="J16" s="29">
        <v>7736</v>
      </c>
      <c r="K16" s="30">
        <v>5490</v>
      </c>
      <c r="L16" s="29">
        <v>5400</v>
      </c>
      <c r="M16" s="30">
        <v>7710</v>
      </c>
      <c r="N16" s="55">
        <v>7700</v>
      </c>
      <c r="O16" s="600">
        <v>7707</v>
      </c>
      <c r="P16" s="30">
        <v>7706</v>
      </c>
      <c r="Q16" s="189">
        <v>7700</v>
      </c>
      <c r="R16" s="14">
        <f t="shared" si="1"/>
        <v>8</v>
      </c>
    </row>
    <row r="17" spans="1:18" x14ac:dyDescent="0.2">
      <c r="A17" s="1">
        <v>9</v>
      </c>
      <c r="B17" s="33" t="s">
        <v>27</v>
      </c>
      <c r="C17" s="33" t="s">
        <v>28</v>
      </c>
      <c r="D17" s="18">
        <v>112</v>
      </c>
      <c r="E17" s="19"/>
      <c r="F17" s="19">
        <v>131</v>
      </c>
      <c r="G17" s="20"/>
      <c r="H17" s="34">
        <v>85</v>
      </c>
      <c r="I17" s="35">
        <v>86</v>
      </c>
      <c r="J17" s="34">
        <v>152</v>
      </c>
      <c r="K17" s="35">
        <v>153</v>
      </c>
      <c r="L17" s="34">
        <v>500</v>
      </c>
      <c r="M17" s="35">
        <v>130</v>
      </c>
      <c r="N17" s="36">
        <v>100</v>
      </c>
      <c r="O17" s="601">
        <v>131</v>
      </c>
      <c r="P17" s="35">
        <v>131</v>
      </c>
      <c r="Q17" s="54">
        <v>100</v>
      </c>
      <c r="R17" s="14">
        <f t="shared" si="1"/>
        <v>9</v>
      </c>
    </row>
    <row r="18" spans="1:18" x14ac:dyDescent="0.2">
      <c r="A18" s="1">
        <v>10</v>
      </c>
      <c r="B18" s="25" t="s">
        <v>29</v>
      </c>
      <c r="C18" s="25" t="s">
        <v>30</v>
      </c>
      <c r="D18" s="26">
        <v>2650</v>
      </c>
      <c r="E18" s="27"/>
      <c r="F18" s="27">
        <v>3023</v>
      </c>
      <c r="G18" s="28"/>
      <c r="H18" s="29">
        <v>3000</v>
      </c>
      <c r="I18" s="30">
        <v>2650.09</v>
      </c>
      <c r="J18" s="29">
        <v>3000</v>
      </c>
      <c r="K18" s="30">
        <v>4238</v>
      </c>
      <c r="L18" s="29">
        <v>4000</v>
      </c>
      <c r="M18" s="30">
        <v>3539</v>
      </c>
      <c r="N18" s="56">
        <v>3000</v>
      </c>
      <c r="O18" s="600">
        <v>3065</v>
      </c>
      <c r="P18" s="30">
        <v>3065</v>
      </c>
      <c r="Q18" s="59">
        <v>3000</v>
      </c>
      <c r="R18" s="14">
        <f t="shared" si="1"/>
        <v>10</v>
      </c>
    </row>
    <row r="19" spans="1:18" hidden="1" x14ac:dyDescent="0.2">
      <c r="B19" s="25" t="s">
        <v>31</v>
      </c>
      <c r="C19" s="25" t="s">
        <v>32</v>
      </c>
      <c r="D19" s="26"/>
      <c r="E19" s="27"/>
      <c r="F19" s="27"/>
      <c r="G19" s="28"/>
      <c r="H19" s="29"/>
      <c r="I19" s="30"/>
      <c r="J19" s="29"/>
      <c r="K19" s="30"/>
      <c r="L19" s="29">
        <v>0</v>
      </c>
      <c r="M19" s="30">
        <v>12135</v>
      </c>
      <c r="N19" s="57" t="s">
        <v>33</v>
      </c>
      <c r="O19" s="600"/>
      <c r="P19" s="58"/>
      <c r="Q19" s="59">
        <v>0</v>
      </c>
      <c r="R19" s="14">
        <f t="shared" si="1"/>
        <v>0</v>
      </c>
    </row>
    <row r="20" spans="1:18" x14ac:dyDescent="0.2">
      <c r="A20" s="1">
        <v>11</v>
      </c>
      <c r="B20" s="33" t="s">
        <v>34</v>
      </c>
      <c r="C20" s="33" t="s">
        <v>35</v>
      </c>
      <c r="D20" s="18"/>
      <c r="E20" s="19"/>
      <c r="F20" s="19"/>
      <c r="G20" s="20"/>
      <c r="H20" s="34">
        <v>0</v>
      </c>
      <c r="I20" s="35">
        <v>179.76</v>
      </c>
      <c r="J20" s="34">
        <v>187</v>
      </c>
      <c r="K20" s="35">
        <v>-118</v>
      </c>
      <c r="L20" s="34">
        <v>0</v>
      </c>
      <c r="M20" s="35">
        <v>1</v>
      </c>
      <c r="N20" s="36">
        <v>100</v>
      </c>
      <c r="O20" s="596">
        <v>29</v>
      </c>
      <c r="P20" s="35">
        <v>29</v>
      </c>
      <c r="Q20" s="54">
        <v>50</v>
      </c>
      <c r="R20" s="14">
        <f t="shared" si="1"/>
        <v>11</v>
      </c>
    </row>
    <row r="21" spans="1:18" s="16" customFormat="1" ht="12.75" x14ac:dyDescent="0.2">
      <c r="A21" s="1">
        <v>12</v>
      </c>
      <c r="B21" s="25" t="s">
        <v>36</v>
      </c>
      <c r="C21" s="25" t="s">
        <v>37</v>
      </c>
      <c r="D21" s="26"/>
      <c r="E21" s="27"/>
      <c r="F21" s="27"/>
      <c r="G21" s="28"/>
      <c r="H21" s="29">
        <v>300</v>
      </c>
      <c r="I21" s="30">
        <v>308.48</v>
      </c>
      <c r="J21" s="29">
        <v>300</v>
      </c>
      <c r="K21" s="30">
        <v>428</v>
      </c>
      <c r="L21" s="29">
        <v>300</v>
      </c>
      <c r="M21" s="30">
        <v>503</v>
      </c>
      <c r="N21" s="55">
        <v>400</v>
      </c>
      <c r="O21" s="595">
        <v>345</v>
      </c>
      <c r="P21" s="30">
        <v>345</v>
      </c>
      <c r="Q21" s="189">
        <v>300</v>
      </c>
      <c r="R21" s="14">
        <f t="shared" si="1"/>
        <v>12</v>
      </c>
    </row>
    <row r="22" spans="1:18" s="16" customFormat="1" ht="12.75" x14ac:dyDescent="0.2">
      <c r="A22" s="1">
        <v>13</v>
      </c>
      <c r="B22" s="33" t="s">
        <v>38</v>
      </c>
      <c r="C22" s="33" t="s">
        <v>39</v>
      </c>
      <c r="D22" s="18">
        <v>0</v>
      </c>
      <c r="E22" s="19"/>
      <c r="F22" s="19">
        <v>0</v>
      </c>
      <c r="G22" s="20"/>
      <c r="H22" s="34">
        <v>13000</v>
      </c>
      <c r="I22" s="35">
        <v>25870.65</v>
      </c>
      <c r="J22" s="34">
        <v>0</v>
      </c>
      <c r="K22" s="35">
        <v>0</v>
      </c>
      <c r="L22" s="34">
        <v>0</v>
      </c>
      <c r="M22" s="35">
        <v>1991</v>
      </c>
      <c r="N22" s="36">
        <v>2000</v>
      </c>
      <c r="O22" s="596"/>
      <c r="P22" s="35">
        <v>0</v>
      </c>
      <c r="Q22" s="54">
        <v>0</v>
      </c>
      <c r="R22" s="14">
        <f t="shared" si="1"/>
        <v>13</v>
      </c>
    </row>
    <row r="23" spans="1:18" ht="15" thickBot="1" x14ac:dyDescent="0.25">
      <c r="A23" s="1">
        <v>14</v>
      </c>
      <c r="B23" s="60" t="s">
        <v>40</v>
      </c>
      <c r="C23" s="60" t="s">
        <v>41</v>
      </c>
      <c r="D23" s="61"/>
      <c r="E23" s="27"/>
      <c r="F23" s="27"/>
      <c r="G23" s="28"/>
      <c r="H23" s="62">
        <v>228</v>
      </c>
      <c r="I23" s="63">
        <v>236</v>
      </c>
      <c r="J23" s="62">
        <v>228</v>
      </c>
      <c r="K23" s="63">
        <v>172</v>
      </c>
      <c r="L23" s="62">
        <v>236</v>
      </c>
      <c r="M23" s="63">
        <v>236</v>
      </c>
      <c r="N23" s="64">
        <v>236</v>
      </c>
      <c r="O23" s="602">
        <v>0</v>
      </c>
      <c r="P23" s="63">
        <v>236</v>
      </c>
      <c r="Q23" s="262">
        <v>236</v>
      </c>
      <c r="R23" s="14">
        <f t="shared" si="1"/>
        <v>14</v>
      </c>
    </row>
    <row r="24" spans="1:18" ht="15" thickBot="1" x14ac:dyDescent="0.25">
      <c r="B24" s="757" t="s">
        <v>42</v>
      </c>
      <c r="C24" s="757"/>
      <c r="D24" s="757"/>
      <c r="E24" s="44"/>
      <c r="F24" s="44"/>
      <c r="G24" s="44"/>
      <c r="H24" s="45">
        <f t="shared" ref="H24:Q24" si="2">SUM(H13:H23)</f>
        <v>206709</v>
      </c>
      <c r="I24" s="46">
        <f t="shared" si="2"/>
        <v>219372.76000000004</v>
      </c>
      <c r="J24" s="46">
        <f t="shared" si="2"/>
        <v>193795</v>
      </c>
      <c r="K24" s="47">
        <f t="shared" si="2"/>
        <v>193548.33000000002</v>
      </c>
      <c r="L24" s="45">
        <f t="shared" si="2"/>
        <v>192239</v>
      </c>
      <c r="M24" s="47">
        <f t="shared" si="2"/>
        <v>211040.21</v>
      </c>
      <c r="N24" s="45">
        <f t="shared" si="2"/>
        <v>207871</v>
      </c>
      <c r="O24" s="598">
        <f t="shared" si="2"/>
        <v>175958</v>
      </c>
      <c r="P24" s="47">
        <f t="shared" si="2"/>
        <v>207450</v>
      </c>
      <c r="Q24" s="48">
        <f t="shared" si="2"/>
        <v>207369</v>
      </c>
      <c r="R24" s="14"/>
    </row>
    <row r="25" spans="1:18" ht="15" thickBot="1" x14ac:dyDescent="0.25">
      <c r="B25" s="750" t="s">
        <v>43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14"/>
    </row>
    <row r="26" spans="1:18" ht="15" thickBot="1" x14ac:dyDescent="0.25">
      <c r="B26" s="52"/>
      <c r="C26" s="52"/>
      <c r="D26" s="751">
        <v>2013</v>
      </c>
      <c r="E26" s="751"/>
      <c r="F26" s="751">
        <v>2014</v>
      </c>
      <c r="G26" s="751"/>
      <c r="H26" s="752">
        <v>2015</v>
      </c>
      <c r="I26" s="752"/>
      <c r="J26" s="752">
        <v>2016</v>
      </c>
      <c r="K26" s="752"/>
      <c r="L26" s="752">
        <v>2017</v>
      </c>
      <c r="M26" s="752"/>
      <c r="N26" s="752">
        <f>$N$2</f>
        <v>2018</v>
      </c>
      <c r="O26" s="752"/>
      <c r="P26" s="752"/>
      <c r="Q26" s="758" t="str">
        <f>$Q$2</f>
        <v>2019 Proposed</v>
      </c>
      <c r="R26" s="14"/>
    </row>
    <row r="27" spans="1:18" s="16" customFormat="1" ht="13.5" customHeight="1" thickBot="1" x14ac:dyDescent="0.25">
      <c r="A27" s="8"/>
      <c r="B27" s="9" t="s">
        <v>2</v>
      </c>
      <c r="C27" s="9" t="s">
        <v>3</v>
      </c>
      <c r="D27" s="10" t="s">
        <v>4</v>
      </c>
      <c r="E27" s="10" t="s">
        <v>5</v>
      </c>
      <c r="F27" s="10" t="s">
        <v>4</v>
      </c>
      <c r="G27" s="10" t="s">
        <v>5</v>
      </c>
      <c r="H27" s="11" t="s">
        <v>6</v>
      </c>
      <c r="I27" s="12" t="s">
        <v>4</v>
      </c>
      <c r="J27" s="11" t="s">
        <v>6</v>
      </c>
      <c r="K27" s="12" t="s">
        <v>4</v>
      </c>
      <c r="L27" s="68" t="s">
        <v>6</v>
      </c>
      <c r="M27" s="69" t="str">
        <f>$M$3</f>
        <v>Actual</v>
      </c>
      <c r="N27" s="11" t="s">
        <v>6</v>
      </c>
      <c r="O27" s="593" t="str">
        <f>$O$3</f>
        <v>As of 10/31</v>
      </c>
      <c r="P27" s="12" t="s">
        <v>8</v>
      </c>
      <c r="Q27" s="758"/>
      <c r="R27" s="14"/>
    </row>
    <row r="28" spans="1:18" x14ac:dyDescent="0.2">
      <c r="A28" s="1">
        <v>15</v>
      </c>
      <c r="B28" s="33" t="s">
        <v>44</v>
      </c>
      <c r="C28" s="33" t="s">
        <v>45</v>
      </c>
      <c r="D28" s="18"/>
      <c r="E28" s="19"/>
      <c r="F28" s="19"/>
      <c r="G28" s="20"/>
      <c r="H28" s="34">
        <v>4100</v>
      </c>
      <c r="I28" s="35">
        <v>4725</v>
      </c>
      <c r="J28" s="34">
        <v>4400</v>
      </c>
      <c r="K28" s="70">
        <v>4445</v>
      </c>
      <c r="L28" s="21">
        <v>4000</v>
      </c>
      <c r="M28" s="22">
        <v>4485</v>
      </c>
      <c r="N28" s="71">
        <v>3900</v>
      </c>
      <c r="O28" s="596">
        <v>4140</v>
      </c>
      <c r="P28" s="70">
        <v>4140</v>
      </c>
      <c r="Q28" s="95">
        <v>4000</v>
      </c>
      <c r="R28" s="14">
        <f t="shared" ref="R28:R33" si="3">A28</f>
        <v>15</v>
      </c>
    </row>
    <row r="29" spans="1:18" x14ac:dyDescent="0.2">
      <c r="A29" s="1">
        <v>16</v>
      </c>
      <c r="B29" s="25" t="s">
        <v>46</v>
      </c>
      <c r="C29" s="25" t="s">
        <v>47</v>
      </c>
      <c r="D29" s="26"/>
      <c r="E29" s="27"/>
      <c r="F29" s="27"/>
      <c r="G29" s="28"/>
      <c r="H29" s="29">
        <v>250</v>
      </c>
      <c r="I29" s="30">
        <v>253</v>
      </c>
      <c r="J29" s="29">
        <v>250</v>
      </c>
      <c r="K29" s="72">
        <v>253</v>
      </c>
      <c r="L29" s="29">
        <v>250</v>
      </c>
      <c r="M29" s="30">
        <v>253</v>
      </c>
      <c r="N29" s="73">
        <v>250</v>
      </c>
      <c r="O29" s="595">
        <v>0</v>
      </c>
      <c r="P29" s="72">
        <v>250</v>
      </c>
      <c r="Q29" s="59">
        <v>250</v>
      </c>
      <c r="R29" s="14">
        <f t="shared" si="3"/>
        <v>16</v>
      </c>
    </row>
    <row r="30" spans="1:18" x14ac:dyDescent="0.2">
      <c r="A30" s="1">
        <v>17</v>
      </c>
      <c r="B30" s="33" t="s">
        <v>48</v>
      </c>
      <c r="C30" s="33" t="s">
        <v>49</v>
      </c>
      <c r="D30" s="18"/>
      <c r="E30" s="19"/>
      <c r="F30" s="19"/>
      <c r="G30" s="20"/>
      <c r="H30" s="34">
        <v>100</v>
      </c>
      <c r="I30" s="35">
        <v>100</v>
      </c>
      <c r="J30" s="34">
        <v>100</v>
      </c>
      <c r="K30" s="70">
        <v>50</v>
      </c>
      <c r="L30" s="34">
        <v>50</v>
      </c>
      <c r="M30" s="35">
        <v>50</v>
      </c>
      <c r="N30" s="74">
        <v>50</v>
      </c>
      <c r="O30" s="596">
        <v>50</v>
      </c>
      <c r="P30" s="70">
        <v>50</v>
      </c>
      <c r="Q30" s="54">
        <v>50</v>
      </c>
      <c r="R30" s="14">
        <f t="shared" si="3"/>
        <v>17</v>
      </c>
    </row>
    <row r="31" spans="1:18" x14ac:dyDescent="0.2">
      <c r="A31" s="1">
        <v>18</v>
      </c>
      <c r="B31" s="25" t="s">
        <v>50</v>
      </c>
      <c r="C31" s="25" t="s">
        <v>51</v>
      </c>
      <c r="D31" s="26"/>
      <c r="E31" s="27"/>
      <c r="F31" s="27"/>
      <c r="G31" s="28"/>
      <c r="H31" s="29">
        <v>2150</v>
      </c>
      <c r="I31" s="30">
        <v>2053.85</v>
      </c>
      <c r="J31" s="29">
        <v>2000</v>
      </c>
      <c r="K31" s="72">
        <v>3429</v>
      </c>
      <c r="L31" s="29">
        <v>2000</v>
      </c>
      <c r="M31" s="30">
        <v>1339</v>
      </c>
      <c r="N31" s="75">
        <v>2500</v>
      </c>
      <c r="O31" s="595">
        <v>1664</v>
      </c>
      <c r="P31" s="72">
        <v>1664</v>
      </c>
      <c r="Q31" s="97">
        <v>1500</v>
      </c>
      <c r="R31" s="14">
        <f t="shared" si="3"/>
        <v>18</v>
      </c>
    </row>
    <row r="32" spans="1:18" x14ac:dyDescent="0.2">
      <c r="A32" s="1">
        <v>19</v>
      </c>
      <c r="B32" s="33" t="s">
        <v>52</v>
      </c>
      <c r="C32" s="33" t="s">
        <v>53</v>
      </c>
      <c r="D32" s="18">
        <v>83000</v>
      </c>
      <c r="E32" s="19"/>
      <c r="F32" s="19">
        <v>44000</v>
      </c>
      <c r="G32" s="20"/>
      <c r="H32" s="34">
        <v>35000</v>
      </c>
      <c r="I32" s="35">
        <v>80495.759999999995</v>
      </c>
      <c r="J32" s="34">
        <v>40000</v>
      </c>
      <c r="K32" s="70">
        <v>70115</v>
      </c>
      <c r="L32" s="34">
        <v>40000</v>
      </c>
      <c r="M32" s="35">
        <v>56307</v>
      </c>
      <c r="N32" s="76">
        <v>40000</v>
      </c>
      <c r="O32" s="596">
        <v>57750</v>
      </c>
      <c r="P32" s="70">
        <v>57750</v>
      </c>
      <c r="Q32" s="260">
        <v>40000</v>
      </c>
      <c r="R32" s="14">
        <f t="shared" si="3"/>
        <v>19</v>
      </c>
    </row>
    <row r="33" spans="1:18" ht="15" thickBot="1" x14ac:dyDescent="0.25">
      <c r="A33" s="1">
        <v>20</v>
      </c>
      <c r="B33" s="25" t="s">
        <v>54</v>
      </c>
      <c r="C33" s="25" t="s">
        <v>55</v>
      </c>
      <c r="D33" s="26"/>
      <c r="E33" s="27"/>
      <c r="F33" s="27"/>
      <c r="G33" s="28"/>
      <c r="H33" s="62">
        <v>1200</v>
      </c>
      <c r="I33" s="63">
        <v>2250</v>
      </c>
      <c r="J33" s="38">
        <v>1000</v>
      </c>
      <c r="K33" s="77">
        <v>4500</v>
      </c>
      <c r="L33" s="38">
        <v>1000</v>
      </c>
      <c r="M33" s="30">
        <v>4125</v>
      </c>
      <c r="N33" s="73">
        <v>1500</v>
      </c>
      <c r="O33" s="597">
        <v>4050</v>
      </c>
      <c r="P33" s="77">
        <v>4050</v>
      </c>
      <c r="Q33" s="41">
        <v>2000</v>
      </c>
      <c r="R33" s="14">
        <f t="shared" si="3"/>
        <v>20</v>
      </c>
    </row>
    <row r="34" spans="1:18" ht="15" thickBot="1" x14ac:dyDescent="0.25">
      <c r="A34" s="1">
        <v>21</v>
      </c>
      <c r="B34" s="78" t="s">
        <v>56</v>
      </c>
      <c r="C34" s="78" t="s">
        <v>57</v>
      </c>
      <c r="D34" s="79"/>
      <c r="E34" s="79"/>
      <c r="F34" s="79"/>
      <c r="G34" s="79"/>
      <c r="H34" s="80"/>
      <c r="I34" s="81"/>
      <c r="J34" s="82"/>
      <c r="K34" s="83"/>
      <c r="L34" s="84"/>
      <c r="M34" s="85"/>
      <c r="N34" s="86"/>
      <c r="O34" s="603">
        <v>17485</v>
      </c>
      <c r="P34" s="87">
        <v>17485</v>
      </c>
      <c r="Q34" s="591">
        <v>12000</v>
      </c>
      <c r="R34" s="14"/>
    </row>
    <row r="35" spans="1:18" ht="15" thickBot="1" x14ac:dyDescent="0.25">
      <c r="B35" s="757" t="s">
        <v>58</v>
      </c>
      <c r="C35" s="757"/>
      <c r="D35" s="44"/>
      <c r="E35" s="44"/>
      <c r="F35" s="44"/>
      <c r="G35" s="44"/>
      <c r="H35" s="45">
        <f t="shared" ref="H35:N35" si="4">SUM(H28:H33)</f>
        <v>42800</v>
      </c>
      <c r="I35" s="47">
        <f t="shared" si="4"/>
        <v>89877.61</v>
      </c>
      <c r="J35" s="45">
        <f t="shared" si="4"/>
        <v>47750</v>
      </c>
      <c r="K35" s="88">
        <f t="shared" si="4"/>
        <v>82792</v>
      </c>
      <c r="L35" s="89">
        <f t="shared" si="4"/>
        <v>47300</v>
      </c>
      <c r="M35" s="90">
        <f t="shared" si="4"/>
        <v>66559</v>
      </c>
      <c r="N35" s="45">
        <f t="shared" si="4"/>
        <v>48200</v>
      </c>
      <c r="O35" s="598">
        <f>SUM(O28:O34)</f>
        <v>85139</v>
      </c>
      <c r="P35" s="47">
        <f>SUM(P28:P34)</f>
        <v>85389</v>
      </c>
      <c r="Q35" s="48">
        <f>SUM(Q28:Q34)</f>
        <v>59800</v>
      </c>
      <c r="R35" s="14"/>
    </row>
    <row r="36" spans="1:18" ht="17.25" customHeight="1" thickBot="1" x14ac:dyDescent="0.25">
      <c r="B36" s="750" t="s">
        <v>59</v>
      </c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14"/>
    </row>
    <row r="37" spans="1:18" ht="15" thickBot="1" x14ac:dyDescent="0.25">
      <c r="B37" s="52"/>
      <c r="C37" s="52"/>
      <c r="D37" s="751">
        <v>2013</v>
      </c>
      <c r="E37" s="751"/>
      <c r="F37" s="751">
        <v>2014</v>
      </c>
      <c r="G37" s="751"/>
      <c r="H37" s="752">
        <v>2015</v>
      </c>
      <c r="I37" s="752"/>
      <c r="J37" s="752">
        <v>2016</v>
      </c>
      <c r="K37" s="752"/>
      <c r="L37" s="753">
        <v>2017</v>
      </c>
      <c r="M37" s="753"/>
      <c r="N37" s="753">
        <f>$N$2</f>
        <v>2018</v>
      </c>
      <c r="O37" s="753"/>
      <c r="P37" s="753"/>
      <c r="Q37" s="754" t="str">
        <f>$Q$2</f>
        <v>2019 Proposed</v>
      </c>
      <c r="R37" s="14"/>
    </row>
    <row r="38" spans="1:18" s="16" customFormat="1" ht="13.5" customHeight="1" thickBot="1" x14ac:dyDescent="0.25">
      <c r="A38" s="8"/>
      <c r="B38" s="9" t="s">
        <v>2</v>
      </c>
      <c r="C38" s="9" t="s">
        <v>3</v>
      </c>
      <c r="D38" s="10" t="s">
        <v>4</v>
      </c>
      <c r="E38" s="10" t="s">
        <v>5</v>
      </c>
      <c r="F38" s="10" t="s">
        <v>4</v>
      </c>
      <c r="G38" s="10" t="s">
        <v>5</v>
      </c>
      <c r="H38" s="11" t="s">
        <v>6</v>
      </c>
      <c r="I38" s="12" t="s">
        <v>4</v>
      </c>
      <c r="J38" s="11" t="s">
        <v>6</v>
      </c>
      <c r="K38" s="12" t="s">
        <v>4</v>
      </c>
      <c r="L38" s="11" t="s">
        <v>6</v>
      </c>
      <c r="M38" s="13" t="str">
        <f>$M$3</f>
        <v>Actual</v>
      </c>
      <c r="N38" s="11" t="s">
        <v>6</v>
      </c>
      <c r="O38" s="593" t="str">
        <f>$O$3</f>
        <v>As of 10/31</v>
      </c>
      <c r="P38" s="13" t="s">
        <v>8</v>
      </c>
      <c r="Q38" s="754"/>
      <c r="R38" s="14"/>
    </row>
    <row r="39" spans="1:18" x14ac:dyDescent="0.2">
      <c r="A39" s="1">
        <v>22</v>
      </c>
      <c r="B39" s="33" t="s">
        <v>60</v>
      </c>
      <c r="C39" s="33" t="s">
        <v>61</v>
      </c>
      <c r="D39" s="18"/>
      <c r="E39" s="19"/>
      <c r="F39" s="19"/>
      <c r="G39" s="20"/>
      <c r="H39" s="34">
        <v>120</v>
      </c>
      <c r="I39" s="35">
        <v>140</v>
      </c>
      <c r="J39" s="34">
        <v>120</v>
      </c>
      <c r="K39" s="35">
        <v>140</v>
      </c>
      <c r="L39" s="34">
        <v>120</v>
      </c>
      <c r="M39" s="35">
        <v>140</v>
      </c>
      <c r="N39" s="23">
        <v>120</v>
      </c>
      <c r="O39" s="596">
        <v>120</v>
      </c>
      <c r="P39" s="35">
        <v>120</v>
      </c>
      <c r="Q39" s="24">
        <v>120</v>
      </c>
      <c r="R39" s="14">
        <f>A39</f>
        <v>22</v>
      </c>
    </row>
    <row r="40" spans="1:18" x14ac:dyDescent="0.2">
      <c r="A40" s="1">
        <v>23</v>
      </c>
      <c r="B40" s="25" t="s">
        <v>62</v>
      </c>
      <c r="C40" s="25" t="s">
        <v>63</v>
      </c>
      <c r="D40" s="26"/>
      <c r="E40" s="27"/>
      <c r="F40" s="27"/>
      <c r="G40" s="28"/>
      <c r="H40" s="29">
        <v>600</v>
      </c>
      <c r="I40" s="30">
        <v>725</v>
      </c>
      <c r="J40" s="29">
        <v>500</v>
      </c>
      <c r="K40" s="30">
        <v>1425</v>
      </c>
      <c r="L40" s="29">
        <v>600</v>
      </c>
      <c r="M40" s="30">
        <v>1000</v>
      </c>
      <c r="N40" s="56">
        <v>500</v>
      </c>
      <c r="O40" s="595">
        <v>775</v>
      </c>
      <c r="P40" s="30">
        <v>775</v>
      </c>
      <c r="Q40" s="59">
        <v>500</v>
      </c>
      <c r="R40" s="14">
        <f>A40</f>
        <v>23</v>
      </c>
    </row>
    <row r="41" spans="1:18" hidden="1" x14ac:dyDescent="0.2">
      <c r="B41" s="25" t="s">
        <v>64</v>
      </c>
      <c r="C41" s="25" t="s">
        <v>65</v>
      </c>
      <c r="D41" s="26"/>
      <c r="E41" s="27"/>
      <c r="F41" s="27"/>
      <c r="G41" s="28"/>
      <c r="H41" s="29">
        <v>0</v>
      </c>
      <c r="I41" s="30">
        <v>15000</v>
      </c>
      <c r="J41" s="29"/>
      <c r="K41" s="30"/>
      <c r="L41" s="29"/>
      <c r="M41" s="30"/>
      <c r="N41" s="53">
        <v>0</v>
      </c>
      <c r="O41" s="595"/>
      <c r="P41" s="30"/>
      <c r="Q41" s="41"/>
      <c r="R41" s="14">
        <f>A41</f>
        <v>0</v>
      </c>
    </row>
    <row r="42" spans="1:18" x14ac:dyDescent="0.2">
      <c r="A42" s="1">
        <v>24</v>
      </c>
      <c r="B42" s="33" t="s">
        <v>66</v>
      </c>
      <c r="C42" s="33" t="s">
        <v>67</v>
      </c>
      <c r="D42" s="18"/>
      <c r="E42" s="19"/>
      <c r="F42" s="19"/>
      <c r="G42" s="20"/>
      <c r="H42" s="34">
        <v>206000</v>
      </c>
      <c r="I42" s="35">
        <v>211304.42</v>
      </c>
      <c r="J42" s="34">
        <v>207000</v>
      </c>
      <c r="K42" s="35">
        <v>210780</v>
      </c>
      <c r="L42" s="34">
        <v>175000</v>
      </c>
      <c r="M42" s="35">
        <v>165653</v>
      </c>
      <c r="N42" s="36">
        <v>165000</v>
      </c>
      <c r="O42" s="601">
        <v>173323</v>
      </c>
      <c r="P42" s="35">
        <v>173323</v>
      </c>
      <c r="Q42" s="54">
        <v>168250</v>
      </c>
      <c r="R42" s="14">
        <f>A42</f>
        <v>24</v>
      </c>
    </row>
    <row r="43" spans="1:18" ht="15" thickBot="1" x14ac:dyDescent="0.25">
      <c r="A43" s="1">
        <v>25</v>
      </c>
      <c r="B43" s="37" t="s">
        <v>68</v>
      </c>
      <c r="C43" s="37" t="s">
        <v>69</v>
      </c>
      <c r="D43" s="26"/>
      <c r="E43" s="27"/>
      <c r="F43" s="27"/>
      <c r="G43" s="28"/>
      <c r="H43" s="62">
        <v>200</v>
      </c>
      <c r="I43" s="63">
        <v>386</v>
      </c>
      <c r="J43" s="62">
        <v>200</v>
      </c>
      <c r="K43" s="63">
        <v>1012</v>
      </c>
      <c r="L43" s="62">
        <v>200</v>
      </c>
      <c r="M43" s="63">
        <v>767</v>
      </c>
      <c r="N43" s="91">
        <v>200</v>
      </c>
      <c r="O43" s="602">
        <v>900</v>
      </c>
      <c r="P43" s="63">
        <v>900</v>
      </c>
      <c r="Q43" s="592">
        <v>250</v>
      </c>
      <c r="R43" s="14">
        <f>A43</f>
        <v>25</v>
      </c>
    </row>
    <row r="44" spans="1:18" ht="15" thickBot="1" x14ac:dyDescent="0.25">
      <c r="B44" s="757" t="s">
        <v>70</v>
      </c>
      <c r="C44" s="757"/>
      <c r="D44" s="44"/>
      <c r="E44" s="44"/>
      <c r="F44" s="44"/>
      <c r="G44" s="44"/>
      <c r="H44" s="45">
        <f t="shared" ref="H44:Q44" si="5">SUM(H39:H43)</f>
        <v>206920</v>
      </c>
      <c r="I44" s="88">
        <f t="shared" si="5"/>
        <v>227555.42</v>
      </c>
      <c r="J44" s="45">
        <f t="shared" si="5"/>
        <v>207820</v>
      </c>
      <c r="K44" s="88">
        <f t="shared" si="5"/>
        <v>213357</v>
      </c>
      <c r="L44" s="45">
        <f t="shared" si="5"/>
        <v>175920</v>
      </c>
      <c r="M44" s="88">
        <f t="shared" si="5"/>
        <v>167560</v>
      </c>
      <c r="N44" s="45">
        <f t="shared" si="5"/>
        <v>165820</v>
      </c>
      <c r="O44" s="598">
        <f t="shared" si="5"/>
        <v>175118</v>
      </c>
      <c r="P44" s="88">
        <f t="shared" si="5"/>
        <v>175118</v>
      </c>
      <c r="Q44" s="92">
        <f t="shared" si="5"/>
        <v>169120</v>
      </c>
      <c r="R44" s="14"/>
    </row>
    <row r="45" spans="1:18" ht="10.5" customHeight="1" x14ac:dyDescent="0.2">
      <c r="R45" s="14"/>
    </row>
    <row r="46" spans="1:18" ht="15" thickBot="1" x14ac:dyDescent="0.25">
      <c r="B46" s="759" t="s">
        <v>71</v>
      </c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14"/>
    </row>
    <row r="47" spans="1:18" ht="14.25" customHeight="1" thickBot="1" x14ac:dyDescent="0.25">
      <c r="A47" s="8"/>
      <c r="B47" s="52"/>
      <c r="C47" s="93"/>
      <c r="D47" s="760">
        <v>2013</v>
      </c>
      <c r="E47" s="760"/>
      <c r="F47" s="751">
        <v>2014</v>
      </c>
      <c r="G47" s="751"/>
      <c r="H47" s="752">
        <v>2015</v>
      </c>
      <c r="I47" s="752"/>
      <c r="J47" s="752">
        <v>2016</v>
      </c>
      <c r="K47" s="752"/>
      <c r="L47" s="752">
        <v>2017</v>
      </c>
      <c r="M47" s="752"/>
      <c r="N47" s="752">
        <f>$N$2</f>
        <v>2018</v>
      </c>
      <c r="O47" s="752"/>
      <c r="P47" s="752"/>
      <c r="Q47" s="761" t="str">
        <f>$Q$2</f>
        <v>2019 Proposed</v>
      </c>
      <c r="R47" s="14"/>
    </row>
    <row r="48" spans="1:18" s="16" customFormat="1" ht="13.5" customHeight="1" thickBot="1" x14ac:dyDescent="0.25">
      <c r="A48" s="1"/>
      <c r="B48" s="9" t="s">
        <v>2</v>
      </c>
      <c r="C48" s="94" t="s">
        <v>3</v>
      </c>
      <c r="D48" s="10" t="s">
        <v>4</v>
      </c>
      <c r="E48" s="10" t="s">
        <v>5</v>
      </c>
      <c r="F48" s="10" t="s">
        <v>4</v>
      </c>
      <c r="G48" s="10" t="s">
        <v>5</v>
      </c>
      <c r="H48" s="11" t="s">
        <v>6</v>
      </c>
      <c r="I48" s="12" t="s">
        <v>4</v>
      </c>
      <c r="J48" s="11" t="s">
        <v>6</v>
      </c>
      <c r="K48" s="12" t="s">
        <v>4</v>
      </c>
      <c r="L48" s="11" t="s">
        <v>6</v>
      </c>
      <c r="M48" s="12" t="str">
        <f>$M$3</f>
        <v>Actual</v>
      </c>
      <c r="N48" s="11" t="s">
        <v>6</v>
      </c>
      <c r="O48" s="593" t="str">
        <f>$O$3</f>
        <v>As of 10/31</v>
      </c>
      <c r="P48" s="12" t="s">
        <v>8</v>
      </c>
      <c r="Q48" s="761"/>
      <c r="R48" s="14"/>
    </row>
    <row r="49" spans="1:1023" x14ac:dyDescent="0.2">
      <c r="A49" s="1">
        <v>26</v>
      </c>
      <c r="B49" s="33" t="s">
        <v>72</v>
      </c>
      <c r="C49" s="17" t="s">
        <v>73</v>
      </c>
      <c r="D49" s="18">
        <v>3500</v>
      </c>
      <c r="E49" s="19"/>
      <c r="F49" s="19">
        <v>12833</v>
      </c>
      <c r="G49" s="20" t="s">
        <v>74</v>
      </c>
      <c r="H49" s="34">
        <v>2600</v>
      </c>
      <c r="I49" s="35">
        <v>3205.32</v>
      </c>
      <c r="J49" s="34">
        <v>2400</v>
      </c>
      <c r="K49" s="35">
        <v>8250</v>
      </c>
      <c r="L49" s="34">
        <v>5000</v>
      </c>
      <c r="M49" s="35">
        <v>20190</v>
      </c>
      <c r="N49" s="23">
        <v>5000</v>
      </c>
      <c r="O49" s="596">
        <v>32813</v>
      </c>
      <c r="P49" s="35">
        <v>36000</v>
      </c>
      <c r="Q49" s="95">
        <v>32000</v>
      </c>
      <c r="R49" s="14">
        <f>A49</f>
        <v>26</v>
      </c>
    </row>
    <row r="50" spans="1:1023" ht="13.5" hidden="1" customHeight="1" x14ac:dyDescent="0.2">
      <c r="B50" s="25" t="s">
        <v>75</v>
      </c>
      <c r="C50" s="25" t="s">
        <v>76</v>
      </c>
      <c r="D50" s="26"/>
      <c r="E50" s="27"/>
      <c r="F50" s="27"/>
      <c r="G50" s="28"/>
      <c r="H50" s="29">
        <v>0</v>
      </c>
      <c r="I50" s="30">
        <v>25050</v>
      </c>
      <c r="J50" s="29">
        <v>0</v>
      </c>
      <c r="K50" s="30"/>
      <c r="L50" s="29"/>
      <c r="M50" s="30">
        <v>0</v>
      </c>
      <c r="N50" s="56"/>
      <c r="O50" s="595"/>
      <c r="P50" s="30"/>
      <c r="Q50" s="59"/>
      <c r="R50" s="14">
        <f>A49</f>
        <v>26</v>
      </c>
    </row>
    <row r="51" spans="1:1023" hidden="1" x14ac:dyDescent="0.2">
      <c r="B51" s="580" t="s">
        <v>77</v>
      </c>
      <c r="C51" s="580" t="s">
        <v>78</v>
      </c>
      <c r="D51" s="581"/>
      <c r="E51" s="582"/>
      <c r="F51" s="582"/>
      <c r="G51" s="583"/>
      <c r="H51" s="584">
        <v>0</v>
      </c>
      <c r="I51" s="585">
        <v>63.65</v>
      </c>
      <c r="J51" s="584">
        <v>0</v>
      </c>
      <c r="K51" s="585"/>
      <c r="L51" s="584">
        <v>0</v>
      </c>
      <c r="M51" s="585">
        <v>13</v>
      </c>
      <c r="N51" s="586">
        <v>0</v>
      </c>
      <c r="O51" s="604"/>
      <c r="P51" s="585"/>
      <c r="Q51" s="587"/>
      <c r="R51" s="14">
        <f t="shared" ref="R51:R63" si="6">A51</f>
        <v>0</v>
      </c>
    </row>
    <row r="52" spans="1:1023" x14ac:dyDescent="0.2">
      <c r="A52" s="1">
        <v>27</v>
      </c>
      <c r="B52" s="25" t="s">
        <v>79</v>
      </c>
      <c r="C52" s="25" t="s">
        <v>80</v>
      </c>
      <c r="D52" s="26"/>
      <c r="E52" s="27"/>
      <c r="F52" s="27"/>
      <c r="G52" s="28"/>
      <c r="H52" s="29">
        <v>2500</v>
      </c>
      <c r="I52" s="30">
        <v>2820</v>
      </c>
      <c r="J52" s="29">
        <v>2500</v>
      </c>
      <c r="K52" s="30">
        <v>1940</v>
      </c>
      <c r="L52" s="29">
        <v>2000</v>
      </c>
      <c r="M52" s="30">
        <v>5220</v>
      </c>
      <c r="N52" s="56">
        <v>1500</v>
      </c>
      <c r="O52" s="595">
        <v>5305</v>
      </c>
      <c r="P52" s="30">
        <v>5305</v>
      </c>
      <c r="Q52" s="59">
        <v>5000</v>
      </c>
      <c r="R52" s="14">
        <f t="shared" si="6"/>
        <v>27</v>
      </c>
    </row>
    <row r="53" spans="1:1023" x14ac:dyDescent="0.2">
      <c r="A53" s="1">
        <v>28</v>
      </c>
      <c r="B53" s="33" t="s">
        <v>81</v>
      </c>
      <c r="C53" s="33" t="s">
        <v>82</v>
      </c>
      <c r="D53" s="18"/>
      <c r="E53" s="19"/>
      <c r="F53" s="19"/>
      <c r="G53" s="20"/>
      <c r="H53" s="34">
        <v>2000</v>
      </c>
      <c r="I53" s="35">
        <v>0</v>
      </c>
      <c r="J53" s="34">
        <v>500</v>
      </c>
      <c r="K53" s="35">
        <v>4055</v>
      </c>
      <c r="L53" s="34">
        <v>1000</v>
      </c>
      <c r="M53" s="35">
        <v>426</v>
      </c>
      <c r="N53" s="36">
        <v>1000</v>
      </c>
      <c r="O53" s="596">
        <v>0</v>
      </c>
      <c r="P53" s="35">
        <v>0</v>
      </c>
      <c r="Q53" s="54">
        <v>0</v>
      </c>
      <c r="R53" s="14">
        <f t="shared" si="6"/>
        <v>28</v>
      </c>
    </row>
    <row r="54" spans="1:1023" x14ac:dyDescent="0.2">
      <c r="A54" s="1">
        <v>29</v>
      </c>
      <c r="B54" s="25" t="s">
        <v>83</v>
      </c>
      <c r="C54" s="25" t="s">
        <v>84</v>
      </c>
      <c r="D54" s="26">
        <v>23850</v>
      </c>
      <c r="E54" s="27"/>
      <c r="F54" s="27">
        <v>21554</v>
      </c>
      <c r="G54" s="28"/>
      <c r="H54" s="29">
        <v>15000</v>
      </c>
      <c r="I54" s="30">
        <v>6752.71</v>
      </c>
      <c r="J54" s="29">
        <v>5000</v>
      </c>
      <c r="K54" s="30">
        <v>21790</v>
      </c>
      <c r="L54" s="29">
        <v>5000</v>
      </c>
      <c r="M54" s="30">
        <v>9032</v>
      </c>
      <c r="N54" s="56">
        <v>3000</v>
      </c>
      <c r="O54" s="595">
        <v>2404</v>
      </c>
      <c r="P54" s="30">
        <v>2404</v>
      </c>
      <c r="Q54" s="59">
        <v>0</v>
      </c>
      <c r="R54" s="14">
        <f t="shared" si="6"/>
        <v>29</v>
      </c>
    </row>
    <row r="55" spans="1:1023" x14ac:dyDescent="0.2">
      <c r="A55" s="1">
        <v>30</v>
      </c>
      <c r="B55" s="33" t="s">
        <v>85</v>
      </c>
      <c r="C55" s="33" t="s">
        <v>86</v>
      </c>
      <c r="D55" s="18"/>
      <c r="E55" s="19"/>
      <c r="F55" s="19"/>
      <c r="G55" s="20"/>
      <c r="H55" s="34">
        <v>0</v>
      </c>
      <c r="I55" s="35">
        <v>1395</v>
      </c>
      <c r="J55" s="34">
        <v>0</v>
      </c>
      <c r="K55" s="35">
        <v>2660</v>
      </c>
      <c r="L55" s="34">
        <v>0</v>
      </c>
      <c r="M55" s="35">
        <v>226</v>
      </c>
      <c r="N55" s="36">
        <v>0</v>
      </c>
      <c r="O55" s="596">
        <v>12333</v>
      </c>
      <c r="P55" s="35">
        <v>12333</v>
      </c>
      <c r="Q55" s="54">
        <v>0</v>
      </c>
      <c r="R55" s="14">
        <f t="shared" si="6"/>
        <v>30</v>
      </c>
    </row>
    <row r="56" spans="1:1023" x14ac:dyDescent="0.2">
      <c r="A56" s="1">
        <v>31</v>
      </c>
      <c r="B56" s="25" t="s">
        <v>87</v>
      </c>
      <c r="C56" s="25" t="s">
        <v>88</v>
      </c>
      <c r="D56" s="26"/>
      <c r="E56" s="27"/>
      <c r="F56" s="27"/>
      <c r="G56" s="28"/>
      <c r="H56" s="29"/>
      <c r="I56" s="30"/>
      <c r="J56" s="29"/>
      <c r="K56" s="30"/>
      <c r="L56" s="29">
        <v>0</v>
      </c>
      <c r="M56" s="30">
        <v>1054</v>
      </c>
      <c r="N56" s="56"/>
      <c r="O56" s="600">
        <v>10234</v>
      </c>
      <c r="P56" s="30">
        <v>10234</v>
      </c>
      <c r="Q56" s="59">
        <v>1200</v>
      </c>
      <c r="R56" s="14">
        <f t="shared" si="6"/>
        <v>31</v>
      </c>
    </row>
    <row r="57" spans="1:1023" x14ac:dyDescent="0.2">
      <c r="A57" s="1">
        <v>32</v>
      </c>
      <c r="B57" s="33" t="s">
        <v>89</v>
      </c>
      <c r="C57" s="33" t="s">
        <v>90</v>
      </c>
      <c r="D57" s="18"/>
      <c r="E57" s="19"/>
      <c r="F57" s="19"/>
      <c r="G57" s="20"/>
      <c r="H57" s="34">
        <v>0</v>
      </c>
      <c r="I57" s="35">
        <v>15000</v>
      </c>
      <c r="J57" s="34">
        <v>15000</v>
      </c>
      <c r="K57" s="35">
        <v>0</v>
      </c>
      <c r="L57" s="34">
        <v>15000</v>
      </c>
      <c r="M57" s="35">
        <v>15000</v>
      </c>
      <c r="N57" s="36">
        <v>15000</v>
      </c>
      <c r="O57" s="596">
        <v>15000</v>
      </c>
      <c r="P57" s="35">
        <v>15000</v>
      </c>
      <c r="Q57" s="54">
        <v>15000</v>
      </c>
      <c r="R57" s="14">
        <f t="shared" si="6"/>
        <v>32</v>
      </c>
    </row>
    <row r="58" spans="1:1023" x14ac:dyDescent="0.2">
      <c r="A58" s="1" t="s">
        <v>91</v>
      </c>
      <c r="B58" s="25" t="s">
        <v>92</v>
      </c>
      <c r="C58" s="25" t="s">
        <v>93</v>
      </c>
      <c r="D58" s="26"/>
      <c r="E58" s="27"/>
      <c r="F58" s="27"/>
      <c r="G58" s="28"/>
      <c r="H58" s="29"/>
      <c r="I58" s="30"/>
      <c r="J58" s="29"/>
      <c r="K58" s="30">
        <v>49931</v>
      </c>
      <c r="L58" s="29">
        <v>43900</v>
      </c>
      <c r="M58" s="30">
        <v>43931</v>
      </c>
      <c r="N58" s="96">
        <v>43931</v>
      </c>
      <c r="O58" s="595">
        <v>43931</v>
      </c>
      <c r="P58" s="30">
        <v>43931</v>
      </c>
      <c r="Q58" s="97">
        <v>43931</v>
      </c>
      <c r="R58" s="14" t="str">
        <f t="shared" si="6"/>
        <v>32a</v>
      </c>
    </row>
    <row r="59" spans="1:1023" hidden="1" x14ac:dyDescent="0.2">
      <c r="A59" s="1" t="s">
        <v>94</v>
      </c>
      <c r="B59" s="25" t="s">
        <v>95</v>
      </c>
      <c r="C59" s="25" t="s">
        <v>96</v>
      </c>
      <c r="D59" s="26"/>
      <c r="E59" s="27"/>
      <c r="F59" s="27"/>
      <c r="G59" s="28"/>
      <c r="H59" s="29"/>
      <c r="I59" s="30"/>
      <c r="J59" s="29"/>
      <c r="K59" s="30">
        <v>366001</v>
      </c>
      <c r="L59" s="98">
        <v>0</v>
      </c>
      <c r="M59" s="58">
        <v>0</v>
      </c>
      <c r="N59" s="56">
        <v>0</v>
      </c>
      <c r="O59" s="600"/>
      <c r="P59" s="58"/>
      <c r="Q59" s="59"/>
      <c r="R59" s="14" t="str">
        <f t="shared" si="6"/>
        <v>32b</v>
      </c>
    </row>
    <row r="60" spans="1:1023" x14ac:dyDescent="0.2">
      <c r="A60" s="1">
        <v>33</v>
      </c>
      <c r="B60" s="570" t="s">
        <v>95</v>
      </c>
      <c r="C60" s="570" t="s">
        <v>97</v>
      </c>
      <c r="D60" s="571"/>
      <c r="E60" s="572"/>
      <c r="F60" s="572"/>
      <c r="G60" s="573"/>
      <c r="H60" s="574"/>
      <c r="I60" s="575"/>
      <c r="J60" s="574"/>
      <c r="K60" s="575"/>
      <c r="L60" s="576"/>
      <c r="M60" s="577"/>
      <c r="N60" s="578">
        <v>0</v>
      </c>
      <c r="O60" s="605">
        <v>1675</v>
      </c>
      <c r="P60" s="575">
        <v>1675</v>
      </c>
      <c r="Q60" s="579">
        <v>0</v>
      </c>
      <c r="R60" s="14">
        <f t="shared" si="6"/>
        <v>33</v>
      </c>
    </row>
    <row r="61" spans="1:1023" x14ac:dyDescent="0.2">
      <c r="A61" s="1">
        <v>34</v>
      </c>
      <c r="B61" s="25" t="s">
        <v>98</v>
      </c>
      <c r="C61" s="25" t="s">
        <v>99</v>
      </c>
      <c r="D61" s="26"/>
      <c r="E61" s="27"/>
      <c r="F61" s="27"/>
      <c r="G61" s="28"/>
      <c r="H61" s="29"/>
      <c r="I61" s="30"/>
      <c r="J61" s="29"/>
      <c r="K61" s="30"/>
      <c r="L61" s="98"/>
      <c r="M61" s="58"/>
      <c r="N61" s="53"/>
      <c r="O61" s="600">
        <v>100</v>
      </c>
      <c r="P61" s="30">
        <v>100</v>
      </c>
      <c r="Q61" s="41">
        <v>0</v>
      </c>
      <c r="R61" s="14">
        <f t="shared" si="6"/>
        <v>34</v>
      </c>
    </row>
    <row r="62" spans="1:1023" s="569" customFormat="1" x14ac:dyDescent="0.2">
      <c r="A62" s="1" t="s">
        <v>604</v>
      </c>
      <c r="B62" s="570" t="s">
        <v>600</v>
      </c>
      <c r="C62" s="570" t="s">
        <v>599</v>
      </c>
      <c r="D62" s="571"/>
      <c r="E62" s="572"/>
      <c r="F62" s="572"/>
      <c r="G62" s="573"/>
      <c r="H62" s="574"/>
      <c r="I62" s="575"/>
      <c r="J62" s="574"/>
      <c r="K62" s="575"/>
      <c r="L62" s="576"/>
      <c r="M62" s="577"/>
      <c r="N62" s="578">
        <v>0</v>
      </c>
      <c r="O62" s="605"/>
      <c r="P62" s="575">
        <v>11915</v>
      </c>
      <c r="Q62" s="579">
        <v>11915</v>
      </c>
      <c r="R62" s="14" t="str">
        <f>A62</f>
        <v>34a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</row>
    <row r="63" spans="1:1023" ht="15" thickBot="1" x14ac:dyDescent="0.25">
      <c r="A63" s="1">
        <v>35</v>
      </c>
      <c r="B63" s="25" t="s">
        <v>100</v>
      </c>
      <c r="C63" s="25" t="s">
        <v>101</v>
      </c>
      <c r="D63" s="26"/>
      <c r="E63" s="27"/>
      <c r="F63" s="27"/>
      <c r="G63" s="28"/>
      <c r="H63" s="29">
        <v>1500</v>
      </c>
      <c r="I63" s="30">
        <v>6569.32</v>
      </c>
      <c r="J63" s="29">
        <v>16295</v>
      </c>
      <c r="K63" s="30">
        <v>20697</v>
      </c>
      <c r="L63" s="29">
        <v>14500</v>
      </c>
      <c r="M63" s="30">
        <v>8363</v>
      </c>
      <c r="N63" s="53">
        <v>2000</v>
      </c>
      <c r="O63" s="595">
        <v>20218</v>
      </c>
      <c r="P63" s="30">
        <v>20218</v>
      </c>
      <c r="Q63" s="41">
        <v>5000</v>
      </c>
      <c r="R63" s="14">
        <f t="shared" si="6"/>
        <v>35</v>
      </c>
    </row>
    <row r="64" spans="1:1023" ht="15" thickBot="1" x14ac:dyDescent="0.25">
      <c r="B64" s="757" t="s">
        <v>102</v>
      </c>
      <c r="C64" s="757"/>
      <c r="D64" s="44"/>
      <c r="E64" s="44"/>
      <c r="F64" s="44"/>
      <c r="G64" s="44"/>
      <c r="H64" s="102">
        <f t="shared" ref="H64:Q64" si="7">SUM(H49:H63)</f>
        <v>23600</v>
      </c>
      <c r="I64" s="102">
        <f t="shared" si="7"/>
        <v>60856</v>
      </c>
      <c r="J64" s="103">
        <f t="shared" si="7"/>
        <v>41695</v>
      </c>
      <c r="K64" s="104">
        <f t="shared" si="7"/>
        <v>475324</v>
      </c>
      <c r="L64" s="102">
        <f t="shared" si="7"/>
        <v>86400</v>
      </c>
      <c r="M64" s="105">
        <f t="shared" si="7"/>
        <v>103455</v>
      </c>
      <c r="N64" s="102">
        <f t="shared" si="7"/>
        <v>71431</v>
      </c>
      <c r="O64" s="606">
        <f t="shared" si="7"/>
        <v>144013</v>
      </c>
      <c r="P64" s="105">
        <f t="shared" si="7"/>
        <v>159115</v>
      </c>
      <c r="Q64" s="106">
        <f t="shared" si="7"/>
        <v>114046</v>
      </c>
      <c r="R64" s="14"/>
    </row>
    <row r="65" spans="1:18" hidden="1" x14ac:dyDescent="0.2">
      <c r="R65" s="14"/>
    </row>
    <row r="66" spans="1:18" hidden="1" x14ac:dyDescent="0.2">
      <c r="B66" s="107" t="s">
        <v>103</v>
      </c>
      <c r="R66" s="14"/>
    </row>
    <row r="67" spans="1:18" hidden="1" x14ac:dyDescent="0.2">
      <c r="R67" s="14"/>
    </row>
    <row r="68" spans="1:18" hidden="1" x14ac:dyDescent="0.2">
      <c r="B68" s="49" t="s">
        <v>104</v>
      </c>
      <c r="C68" s="49" t="s">
        <v>105</v>
      </c>
      <c r="I68" s="49">
        <v>195000</v>
      </c>
      <c r="J68" s="49">
        <v>0</v>
      </c>
      <c r="L68" s="108"/>
      <c r="M68" s="49">
        <v>0</v>
      </c>
      <c r="N68" s="108"/>
      <c r="P68" s="49">
        <v>0</v>
      </c>
      <c r="Q68" s="109"/>
      <c r="R68" s="14"/>
    </row>
    <row r="69" spans="1:18" hidden="1" x14ac:dyDescent="0.2">
      <c r="B69" s="49" t="s">
        <v>106</v>
      </c>
      <c r="C69" s="49" t="s">
        <v>107</v>
      </c>
      <c r="H69" s="108">
        <v>350</v>
      </c>
      <c r="I69" s="108">
        <v>3160</v>
      </c>
      <c r="J69" s="108">
        <v>0</v>
      </c>
      <c r="K69" s="108">
        <v>4101</v>
      </c>
      <c r="L69" s="108"/>
      <c r="M69" s="108">
        <v>0</v>
      </c>
      <c r="N69" s="108"/>
      <c r="P69" s="108">
        <v>0</v>
      </c>
      <c r="Q69" s="109"/>
      <c r="R69" s="14"/>
    </row>
    <row r="70" spans="1:18" hidden="1" x14ac:dyDescent="0.2">
      <c r="B70" s="49" t="s">
        <v>108</v>
      </c>
      <c r="C70" s="49" t="s">
        <v>109</v>
      </c>
      <c r="H70" s="108">
        <v>0</v>
      </c>
      <c r="I70" s="108">
        <v>0</v>
      </c>
      <c r="J70" s="108">
        <v>0</v>
      </c>
      <c r="K70" s="108"/>
      <c r="L70" s="108"/>
      <c r="M70" s="108">
        <v>0</v>
      </c>
      <c r="N70" s="108"/>
      <c r="P70" s="108">
        <v>0</v>
      </c>
      <c r="Q70" s="109"/>
      <c r="R70" s="14"/>
    </row>
    <row r="71" spans="1:18" ht="15" hidden="1" customHeight="1" x14ac:dyDescent="0.2">
      <c r="B71" s="762" t="s">
        <v>110</v>
      </c>
      <c r="C71" s="762"/>
      <c r="D71" s="66"/>
      <c r="E71" s="66"/>
      <c r="F71" s="66"/>
      <c r="G71" s="66"/>
      <c r="H71" s="67">
        <f>SUM(H69:H70)</f>
        <v>350</v>
      </c>
      <c r="I71" s="67">
        <f>SUM(I68:I70)</f>
        <v>198160</v>
      </c>
      <c r="J71" s="67">
        <f>SUM(J68:J70)</f>
        <v>0</v>
      </c>
      <c r="K71" s="67"/>
      <c r="L71" s="108"/>
      <c r="M71" s="67">
        <f>SUM(M68:M70)</f>
        <v>0</v>
      </c>
      <c r="N71" s="108"/>
      <c r="P71" s="67">
        <f>SUM(P68:P70)</f>
        <v>0</v>
      </c>
      <c r="Q71" s="109"/>
      <c r="R71" s="14"/>
    </row>
    <row r="72" spans="1:18" ht="13.5" customHeight="1" thickBot="1" x14ac:dyDescent="0.25">
      <c r="B72" s="110"/>
      <c r="C72" s="110"/>
      <c r="D72" s="66"/>
      <c r="E72" s="66"/>
      <c r="F72" s="66"/>
      <c r="G72" s="66"/>
      <c r="H72" s="67"/>
      <c r="I72" s="67"/>
      <c r="J72" s="67"/>
      <c r="K72" s="67"/>
      <c r="L72" s="108"/>
      <c r="M72" s="67"/>
      <c r="N72" s="108"/>
      <c r="P72" s="67"/>
      <c r="Q72" s="109"/>
      <c r="R72" s="14"/>
    </row>
    <row r="73" spans="1:18" ht="15" customHeight="1" thickBot="1" x14ac:dyDescent="0.25">
      <c r="B73" s="763" t="s">
        <v>111</v>
      </c>
      <c r="C73" s="763"/>
      <c r="H73" s="111">
        <f t="shared" ref="H73:Q73" si="8">SUM(H8,H24,H35,H44,H64)</f>
        <v>1160250</v>
      </c>
      <c r="I73" s="112">
        <f t="shared" si="8"/>
        <v>1291066.94</v>
      </c>
      <c r="J73" s="113">
        <f t="shared" si="8"/>
        <v>1301872</v>
      </c>
      <c r="K73" s="112">
        <f t="shared" si="8"/>
        <v>1781798.42</v>
      </c>
      <c r="L73" s="113">
        <f t="shared" si="8"/>
        <v>1303620</v>
      </c>
      <c r="M73" s="112">
        <f t="shared" si="8"/>
        <v>1344083.0899999999</v>
      </c>
      <c r="N73" s="114">
        <f t="shared" si="8"/>
        <v>1316951</v>
      </c>
      <c r="O73" s="607">
        <f t="shared" si="8"/>
        <v>1402000</v>
      </c>
      <c r="P73" s="112">
        <f t="shared" si="8"/>
        <v>1446657</v>
      </c>
      <c r="Q73" s="115">
        <f t="shared" si="8"/>
        <v>1416417</v>
      </c>
      <c r="R73" s="14"/>
    </row>
    <row r="74" spans="1:18" ht="15" customHeight="1" thickBot="1" x14ac:dyDescent="0.25">
      <c r="B74" s="750" t="s">
        <v>112</v>
      </c>
      <c r="C74" s="750"/>
      <c r="D74" s="750"/>
      <c r="E74" s="750"/>
      <c r="F74" s="750"/>
      <c r="G74" s="750"/>
      <c r="H74" s="750"/>
      <c r="I74" s="750"/>
      <c r="J74" s="750"/>
      <c r="K74" s="750"/>
      <c r="L74" s="750"/>
      <c r="M74" s="750"/>
      <c r="N74" s="750"/>
      <c r="O74" s="750"/>
      <c r="P74" s="750"/>
      <c r="Q74" s="750"/>
      <c r="R74" s="14"/>
    </row>
    <row r="75" spans="1:18" ht="15" customHeight="1" thickBot="1" x14ac:dyDescent="0.25">
      <c r="B75" s="52"/>
      <c r="C75" s="93"/>
      <c r="D75" s="760">
        <v>2013</v>
      </c>
      <c r="E75" s="760"/>
      <c r="F75" s="751">
        <v>2014</v>
      </c>
      <c r="G75" s="751"/>
      <c r="H75" s="752">
        <v>2015</v>
      </c>
      <c r="I75" s="752"/>
      <c r="J75" s="753">
        <v>2016</v>
      </c>
      <c r="K75" s="753"/>
      <c r="L75" s="752">
        <v>2017</v>
      </c>
      <c r="M75" s="752"/>
      <c r="N75" s="752">
        <f>$N$2</f>
        <v>2018</v>
      </c>
      <c r="O75" s="752"/>
      <c r="P75" s="752"/>
      <c r="Q75" s="754" t="str">
        <f>$Q$2</f>
        <v>2019 Proposed</v>
      </c>
      <c r="R75" s="14"/>
    </row>
    <row r="76" spans="1:18" ht="15" customHeight="1" thickBot="1" x14ac:dyDescent="0.25">
      <c r="B76" s="9" t="s">
        <v>2</v>
      </c>
      <c r="C76" s="94" t="s">
        <v>3</v>
      </c>
      <c r="D76" s="10" t="s">
        <v>4</v>
      </c>
      <c r="E76" s="10" t="s">
        <v>5</v>
      </c>
      <c r="F76" s="10" t="s">
        <v>4</v>
      </c>
      <c r="G76" s="10" t="s">
        <v>5</v>
      </c>
      <c r="H76" s="11" t="s">
        <v>6</v>
      </c>
      <c r="I76" s="12" t="s">
        <v>4</v>
      </c>
      <c r="J76" s="68" t="s">
        <v>6</v>
      </c>
      <c r="K76" s="116" t="s">
        <v>4</v>
      </c>
      <c r="L76" s="11" t="s">
        <v>6</v>
      </c>
      <c r="M76" s="12" t="str">
        <f>$M$3</f>
        <v>Actual</v>
      </c>
      <c r="N76" s="11" t="s">
        <v>6</v>
      </c>
      <c r="O76" s="593" t="str">
        <f>$O$3</f>
        <v>As of 10/31</v>
      </c>
      <c r="P76" s="12" t="s">
        <v>8</v>
      </c>
      <c r="Q76" s="754"/>
      <c r="R76" s="14"/>
    </row>
    <row r="77" spans="1:18" ht="15" customHeight="1" thickBot="1" x14ac:dyDescent="0.25">
      <c r="A77" s="1">
        <v>36</v>
      </c>
      <c r="B77" s="117" t="s">
        <v>104</v>
      </c>
      <c r="C77" s="117" t="s">
        <v>113</v>
      </c>
      <c r="D77" s="118"/>
      <c r="E77" s="118"/>
      <c r="F77" s="118"/>
      <c r="G77" s="118"/>
      <c r="H77" s="119"/>
      <c r="I77" s="119">
        <v>195000</v>
      </c>
      <c r="J77" s="120"/>
      <c r="K77" s="121"/>
      <c r="L77" s="122">
        <v>0</v>
      </c>
      <c r="M77" s="123">
        <v>130000</v>
      </c>
      <c r="N77" s="124">
        <v>0</v>
      </c>
      <c r="O77" s="608">
        <v>120000</v>
      </c>
      <c r="P77" s="125">
        <v>120000</v>
      </c>
      <c r="Q77" s="671">
        <v>0</v>
      </c>
      <c r="R77" s="14">
        <f>A77</f>
        <v>36</v>
      </c>
    </row>
    <row r="78" spans="1:18" ht="15" customHeight="1" thickBot="1" x14ac:dyDescent="0.25">
      <c r="A78" s="1">
        <v>37</v>
      </c>
      <c r="B78" s="126" t="s">
        <v>108</v>
      </c>
      <c r="C78" s="126" t="s">
        <v>114</v>
      </c>
      <c r="D78" s="127"/>
      <c r="E78" s="127"/>
      <c r="F78" s="127"/>
      <c r="G78" s="127"/>
      <c r="H78" s="108"/>
      <c r="I78" s="108"/>
      <c r="J78" s="128"/>
      <c r="K78" s="129"/>
      <c r="L78" s="130"/>
      <c r="M78" s="131">
        <v>199835</v>
      </c>
      <c r="N78" s="132">
        <v>199358</v>
      </c>
      <c r="O78" s="609">
        <v>197934</v>
      </c>
      <c r="P78" s="670">
        <v>197934</v>
      </c>
      <c r="Q78" s="672">
        <v>403</v>
      </c>
      <c r="R78" s="14">
        <f>A78</f>
        <v>37</v>
      </c>
    </row>
    <row r="79" spans="1:18" s="145" customFormat="1" ht="15" customHeight="1" thickBot="1" x14ac:dyDescent="0.25">
      <c r="A79" s="1"/>
      <c r="B79" s="133"/>
      <c r="C79" s="134" t="s">
        <v>115</v>
      </c>
      <c r="D79" s="135"/>
      <c r="E79" s="135"/>
      <c r="F79" s="135"/>
      <c r="G79" s="135"/>
      <c r="H79" s="136"/>
      <c r="I79" s="136">
        <f t="shared" ref="I79:Q79" si="9">SUM(I77:I78)</f>
        <v>195000</v>
      </c>
      <c r="J79" s="137">
        <f t="shared" si="9"/>
        <v>0</v>
      </c>
      <c r="K79" s="138">
        <f t="shared" si="9"/>
        <v>0</v>
      </c>
      <c r="L79" s="139">
        <f t="shared" si="9"/>
        <v>0</v>
      </c>
      <c r="M79" s="140">
        <f t="shared" si="9"/>
        <v>329835</v>
      </c>
      <c r="N79" s="141">
        <f t="shared" si="9"/>
        <v>199358</v>
      </c>
      <c r="O79" s="610">
        <f t="shared" si="9"/>
        <v>317934</v>
      </c>
      <c r="P79" s="142">
        <f t="shared" si="9"/>
        <v>317934</v>
      </c>
      <c r="Q79" s="297">
        <f t="shared" si="9"/>
        <v>403</v>
      </c>
      <c r="R79" s="143"/>
    </row>
    <row r="80" spans="1:18" ht="13.5" customHeight="1" thickBot="1" x14ac:dyDescent="0.25">
      <c r="B80" s="10"/>
      <c r="C80" s="44"/>
      <c r="D80" s="127"/>
      <c r="E80" s="127"/>
      <c r="F80" s="127"/>
      <c r="G80" s="127"/>
      <c r="H80" s="108"/>
      <c r="I80" s="108"/>
      <c r="J80" s="108"/>
      <c r="K80" s="108"/>
      <c r="L80" s="108"/>
      <c r="M80" s="108"/>
      <c r="N80" s="108"/>
      <c r="P80" s="108"/>
      <c r="Q80" s="146"/>
    </row>
    <row r="81" spans="1:18" ht="15" customHeight="1" thickBot="1" x14ac:dyDescent="0.25">
      <c r="B81" s="763" t="s">
        <v>116</v>
      </c>
      <c r="C81" s="763"/>
      <c r="H81" s="111" t="e">
        <f>SUM(H18,H33,H45,H54,#REF!)</f>
        <v>#REF!</v>
      </c>
      <c r="I81" s="112" t="e">
        <f>SUM(I18,I33,I45,I54,#REF!)</f>
        <v>#REF!</v>
      </c>
      <c r="J81" s="111">
        <f t="shared" ref="J81:Q81" si="10">J73+J79</f>
        <v>1301872</v>
      </c>
      <c r="K81" s="111">
        <f t="shared" si="10"/>
        <v>1781798.42</v>
      </c>
      <c r="L81" s="114">
        <f t="shared" si="10"/>
        <v>1303620</v>
      </c>
      <c r="M81" s="147">
        <f t="shared" si="10"/>
        <v>1673918.0899999999</v>
      </c>
      <c r="N81" s="114">
        <f t="shared" si="10"/>
        <v>1516309</v>
      </c>
      <c r="O81" s="607">
        <f t="shared" si="10"/>
        <v>1719934</v>
      </c>
      <c r="P81" s="147">
        <f t="shared" si="10"/>
        <v>1764591</v>
      </c>
      <c r="Q81" s="148">
        <f t="shared" si="10"/>
        <v>1416820</v>
      </c>
    </row>
    <row r="82" spans="1:18" ht="15" customHeight="1" thickBot="1" x14ac:dyDescent="0.25">
      <c r="B82" s="766" t="s">
        <v>117</v>
      </c>
      <c r="C82" s="766"/>
      <c r="D82" s="766"/>
      <c r="E82" s="766"/>
      <c r="F82" s="766"/>
      <c r="G82" s="766"/>
      <c r="H82" s="766"/>
      <c r="I82" s="766"/>
      <c r="J82" s="766"/>
      <c r="K82" s="766"/>
      <c r="L82" s="766"/>
      <c r="M82" s="766"/>
      <c r="N82" s="766"/>
      <c r="O82" s="766"/>
      <c r="P82" s="766"/>
      <c r="Q82" s="766"/>
    </row>
    <row r="83" spans="1:18" ht="15" customHeight="1" thickBot="1" x14ac:dyDescent="0.25">
      <c r="A83" s="8"/>
      <c r="B83" s="52"/>
      <c r="C83" s="52"/>
      <c r="D83" s="767">
        <v>2013</v>
      </c>
      <c r="E83" s="767"/>
      <c r="F83" s="768">
        <v>2014</v>
      </c>
      <c r="G83" s="768"/>
      <c r="H83" s="752">
        <v>2015</v>
      </c>
      <c r="I83" s="752"/>
      <c r="J83" s="752">
        <v>2016</v>
      </c>
      <c r="K83" s="752"/>
      <c r="L83" s="753">
        <v>2017</v>
      </c>
      <c r="M83" s="753"/>
      <c r="N83" s="753">
        <f>$N$2</f>
        <v>2018</v>
      </c>
      <c r="O83" s="753"/>
      <c r="P83" s="753"/>
      <c r="Q83" s="754" t="str">
        <f>$Q$2</f>
        <v>2019 Proposed</v>
      </c>
    </row>
    <row r="84" spans="1:18" s="16" customFormat="1" ht="13.5" customHeight="1" thickBot="1" x14ac:dyDescent="0.25">
      <c r="A84" s="8"/>
      <c r="B84" s="9" t="s">
        <v>2</v>
      </c>
      <c r="C84" s="9" t="s">
        <v>3</v>
      </c>
      <c r="D84" s="149" t="s">
        <v>4</v>
      </c>
      <c r="E84" s="149" t="s">
        <v>5</v>
      </c>
      <c r="F84" s="149" t="s">
        <v>4</v>
      </c>
      <c r="G84" s="149" t="s">
        <v>5</v>
      </c>
      <c r="H84" s="11" t="s">
        <v>6</v>
      </c>
      <c r="I84" s="12" t="s">
        <v>4</v>
      </c>
      <c r="J84" s="11" t="s">
        <v>6</v>
      </c>
      <c r="K84" s="12" t="s">
        <v>4</v>
      </c>
      <c r="L84" s="11" t="s">
        <v>6</v>
      </c>
      <c r="M84" s="13" t="str">
        <f>$M$3</f>
        <v>Actual</v>
      </c>
      <c r="N84" s="11" t="s">
        <v>6</v>
      </c>
      <c r="O84" s="593" t="str">
        <f>$O$3</f>
        <v>As of 10/31</v>
      </c>
      <c r="P84" s="13" t="s">
        <v>8</v>
      </c>
      <c r="Q84" s="754"/>
      <c r="R84" s="14"/>
    </row>
    <row r="85" spans="1:18" x14ac:dyDescent="0.2">
      <c r="A85" s="1">
        <v>38</v>
      </c>
      <c r="B85" s="150" t="s">
        <v>118</v>
      </c>
      <c r="C85" s="150" t="s">
        <v>119</v>
      </c>
      <c r="D85" s="151"/>
      <c r="E85" s="152"/>
      <c r="F85" s="152"/>
      <c r="G85" s="153"/>
      <c r="H85" s="154">
        <v>10000</v>
      </c>
      <c r="I85" s="155">
        <v>10540</v>
      </c>
      <c r="J85" s="154">
        <v>13000</v>
      </c>
      <c r="K85" s="155">
        <v>11650</v>
      </c>
      <c r="L85" s="154">
        <v>14000</v>
      </c>
      <c r="M85" s="155">
        <v>12900</v>
      </c>
      <c r="N85" s="23">
        <v>14000</v>
      </c>
      <c r="O85" s="611">
        <v>7950</v>
      </c>
      <c r="P85" s="155">
        <v>14000</v>
      </c>
      <c r="Q85" s="24">
        <v>13000</v>
      </c>
      <c r="R85" s="3">
        <f>A85</f>
        <v>38</v>
      </c>
    </row>
    <row r="86" spans="1:18" x14ac:dyDescent="0.2">
      <c r="A86" s="1">
        <v>39</v>
      </c>
      <c r="B86" s="25" t="s">
        <v>120</v>
      </c>
      <c r="C86" s="25" t="s">
        <v>121</v>
      </c>
      <c r="D86" s="26"/>
      <c r="E86" s="27"/>
      <c r="F86" s="27"/>
      <c r="G86" s="28"/>
      <c r="H86" s="29">
        <v>900</v>
      </c>
      <c r="I86" s="30">
        <v>806.33</v>
      </c>
      <c r="J86" s="29">
        <v>1200</v>
      </c>
      <c r="K86" s="30">
        <v>891</v>
      </c>
      <c r="L86" s="29">
        <v>1100</v>
      </c>
      <c r="M86" s="30">
        <v>987</v>
      </c>
      <c r="N86" s="56">
        <f>N85*0.0765</f>
        <v>1071</v>
      </c>
      <c r="O86" s="595">
        <v>608</v>
      </c>
      <c r="P86" s="30">
        <v>1071</v>
      </c>
      <c r="Q86" s="59">
        <f>P1*0.0765</f>
        <v>0</v>
      </c>
      <c r="R86" s="3">
        <f>A86</f>
        <v>39</v>
      </c>
    </row>
    <row r="87" spans="1:18" x14ac:dyDescent="0.2">
      <c r="A87" s="1">
        <v>40</v>
      </c>
      <c r="B87" s="33" t="s">
        <v>122</v>
      </c>
      <c r="C87" s="33" t="s">
        <v>123</v>
      </c>
      <c r="D87" s="18"/>
      <c r="E87" s="19"/>
      <c r="F87" s="19"/>
      <c r="G87" s="20"/>
      <c r="H87" s="34">
        <v>3500</v>
      </c>
      <c r="I87" s="35">
        <v>3245</v>
      </c>
      <c r="J87" s="34">
        <v>3500</v>
      </c>
      <c r="K87" s="35">
        <v>3340</v>
      </c>
      <c r="L87" s="34">
        <v>5000</v>
      </c>
      <c r="M87" s="35">
        <v>5930</v>
      </c>
      <c r="N87" s="36">
        <v>3500</v>
      </c>
      <c r="O87" s="596">
        <v>3507</v>
      </c>
      <c r="P87" s="35">
        <v>3507</v>
      </c>
      <c r="Q87" s="54">
        <v>3500</v>
      </c>
      <c r="R87" s="3">
        <f>A87</f>
        <v>40</v>
      </c>
    </row>
    <row r="88" spans="1:18" ht="15" thickBot="1" x14ac:dyDescent="0.25">
      <c r="A88" s="1">
        <v>41</v>
      </c>
      <c r="B88" s="25" t="s">
        <v>124</v>
      </c>
      <c r="C88" s="156" t="s">
        <v>125</v>
      </c>
      <c r="D88" s="157"/>
      <c r="E88" s="158"/>
      <c r="F88" s="158"/>
      <c r="G88" s="159"/>
      <c r="H88" s="160">
        <v>600</v>
      </c>
      <c r="I88" s="161">
        <v>466.92</v>
      </c>
      <c r="J88" s="160">
        <v>600</v>
      </c>
      <c r="K88" s="161">
        <v>887</v>
      </c>
      <c r="L88" s="160">
        <v>800</v>
      </c>
      <c r="M88" s="161">
        <v>1054</v>
      </c>
      <c r="N88" s="162">
        <v>1200</v>
      </c>
      <c r="O88" s="612">
        <v>328</v>
      </c>
      <c r="P88" s="161">
        <v>1200</v>
      </c>
      <c r="Q88" s="163">
        <v>1200</v>
      </c>
      <c r="R88" s="3">
        <f>A88</f>
        <v>41</v>
      </c>
    </row>
    <row r="89" spans="1:18" ht="15.75" thickTop="1" thickBot="1" x14ac:dyDescent="0.25">
      <c r="A89" s="1">
        <v>42</v>
      </c>
      <c r="B89" s="164" t="s">
        <v>126</v>
      </c>
      <c r="C89" s="165" t="s">
        <v>127</v>
      </c>
      <c r="D89" s="166"/>
      <c r="E89" s="167"/>
      <c r="F89" s="167"/>
      <c r="G89" s="168"/>
      <c r="H89" s="169"/>
      <c r="I89" s="170"/>
      <c r="J89" s="169"/>
      <c r="K89" s="170"/>
      <c r="L89" s="169"/>
      <c r="M89" s="170"/>
      <c r="N89" s="171">
        <v>1000</v>
      </c>
      <c r="O89" s="613">
        <v>1925</v>
      </c>
      <c r="P89" s="170">
        <v>1925</v>
      </c>
      <c r="Q89" s="172">
        <v>0</v>
      </c>
    </row>
    <row r="90" spans="1:18" ht="15.75" thickTop="1" thickBot="1" x14ac:dyDescent="0.25">
      <c r="A90" s="1">
        <v>43</v>
      </c>
      <c r="B90" s="156" t="s">
        <v>128</v>
      </c>
      <c r="C90" s="156" t="s">
        <v>129</v>
      </c>
      <c r="D90" s="157"/>
      <c r="E90" s="158"/>
      <c r="F90" s="158"/>
      <c r="G90" s="159"/>
      <c r="H90" s="160">
        <v>6000</v>
      </c>
      <c r="I90" s="161">
        <v>652.5</v>
      </c>
      <c r="J90" s="160">
        <v>5000</v>
      </c>
      <c r="K90" s="161">
        <v>7204</v>
      </c>
      <c r="L90" s="160">
        <v>5000</v>
      </c>
      <c r="M90" s="161">
        <v>3259</v>
      </c>
      <c r="N90" s="173">
        <v>4000</v>
      </c>
      <c r="O90" s="614">
        <v>1856</v>
      </c>
      <c r="P90" s="161">
        <v>4000</v>
      </c>
      <c r="Q90" s="174">
        <v>4000</v>
      </c>
      <c r="R90" s="3">
        <f t="shared" ref="R90:R115" si="11">A90</f>
        <v>43</v>
      </c>
    </row>
    <row r="91" spans="1:18" ht="15" thickTop="1" x14ac:dyDescent="0.2">
      <c r="A91" s="1">
        <v>44</v>
      </c>
      <c r="B91" s="150" t="s">
        <v>130</v>
      </c>
      <c r="C91" s="150" t="s">
        <v>131</v>
      </c>
      <c r="D91" s="151"/>
      <c r="E91" s="152"/>
      <c r="F91" s="152"/>
      <c r="G91" s="153"/>
      <c r="H91" s="154">
        <v>46800</v>
      </c>
      <c r="I91" s="155">
        <v>46779.24</v>
      </c>
      <c r="J91" s="154">
        <v>49913</v>
      </c>
      <c r="K91" s="155">
        <v>49920</v>
      </c>
      <c r="L91" s="154">
        <v>50918</v>
      </c>
      <c r="M91" s="155">
        <v>46672</v>
      </c>
      <c r="N91" s="175">
        <v>55000</v>
      </c>
      <c r="O91" s="615">
        <v>46289</v>
      </c>
      <c r="P91" s="155">
        <v>55000</v>
      </c>
      <c r="Q91" s="24">
        <v>57560</v>
      </c>
      <c r="R91" s="3">
        <f t="shared" si="11"/>
        <v>44</v>
      </c>
    </row>
    <row r="92" spans="1:18" x14ac:dyDescent="0.2">
      <c r="A92" s="1">
        <v>45</v>
      </c>
      <c r="B92" s="25" t="s">
        <v>132</v>
      </c>
      <c r="C92" s="25" t="s">
        <v>133</v>
      </c>
      <c r="D92" s="26"/>
      <c r="E92" s="27"/>
      <c r="F92" s="27"/>
      <c r="G92" s="28"/>
      <c r="H92" s="176">
        <f>H91*0.0765</f>
        <v>3580.2</v>
      </c>
      <c r="I92" s="30">
        <v>3590.11</v>
      </c>
      <c r="J92" s="176">
        <v>3818</v>
      </c>
      <c r="K92" s="177">
        <v>3819</v>
      </c>
      <c r="L92" s="176">
        <f>L91*0.0765</f>
        <v>3895.2269999999999</v>
      </c>
      <c r="M92" s="177">
        <v>3599</v>
      </c>
      <c r="N92" s="178">
        <f>N91*0.0765</f>
        <v>4207.5</v>
      </c>
      <c r="O92" s="595">
        <v>3510</v>
      </c>
      <c r="P92" s="177">
        <v>4208</v>
      </c>
      <c r="Q92" s="179">
        <f>Q91*0.0765</f>
        <v>4403.34</v>
      </c>
      <c r="R92" s="3">
        <f t="shared" si="11"/>
        <v>45</v>
      </c>
    </row>
    <row r="93" spans="1:18" x14ac:dyDescent="0.2">
      <c r="A93" s="1">
        <v>46</v>
      </c>
      <c r="B93" s="33" t="s">
        <v>134</v>
      </c>
      <c r="C93" s="33" t="s">
        <v>135</v>
      </c>
      <c r="D93" s="18"/>
      <c r="E93" s="19"/>
      <c r="F93" s="19"/>
      <c r="G93" s="20"/>
      <c r="H93" s="34">
        <f>H91*0.068</f>
        <v>3182.4</v>
      </c>
      <c r="I93" s="35">
        <v>3191.3</v>
      </c>
      <c r="J93" s="34">
        <v>3294</v>
      </c>
      <c r="K93" s="35">
        <v>3295</v>
      </c>
      <c r="L93" s="34">
        <f>L91*0.068</f>
        <v>3462.4240000000004</v>
      </c>
      <c r="M93" s="35">
        <v>2927</v>
      </c>
      <c r="N93" s="100">
        <f>N91*0.067</f>
        <v>3685</v>
      </c>
      <c r="O93" s="601">
        <v>3151</v>
      </c>
      <c r="P93" s="35">
        <v>3685</v>
      </c>
      <c r="Q93" s="101">
        <f>Q91*0.0655</f>
        <v>3770.1800000000003</v>
      </c>
      <c r="R93" s="3">
        <f t="shared" si="11"/>
        <v>46</v>
      </c>
    </row>
    <row r="94" spans="1:18" x14ac:dyDescent="0.2">
      <c r="A94" s="1">
        <v>47</v>
      </c>
      <c r="B94" s="25" t="s">
        <v>136</v>
      </c>
      <c r="C94" s="25" t="s">
        <v>137</v>
      </c>
      <c r="D94" s="26"/>
      <c r="E94" s="27"/>
      <c r="F94" s="27"/>
      <c r="G94" s="28"/>
      <c r="H94" s="29">
        <v>16060</v>
      </c>
      <c r="I94" s="30">
        <v>16323.08</v>
      </c>
      <c r="J94" s="29">
        <v>17500</v>
      </c>
      <c r="K94" s="30">
        <v>17429</v>
      </c>
      <c r="L94" s="29">
        <v>17180</v>
      </c>
      <c r="M94" s="30">
        <v>19108</v>
      </c>
      <c r="N94" s="56">
        <v>19575</v>
      </c>
      <c r="O94" s="600">
        <v>17881</v>
      </c>
      <c r="P94" s="30">
        <v>20575</v>
      </c>
      <c r="Q94" s="59">
        <v>18500</v>
      </c>
      <c r="R94" s="3">
        <f t="shared" si="11"/>
        <v>47</v>
      </c>
    </row>
    <row r="95" spans="1:18" ht="15" thickBot="1" x14ac:dyDescent="0.25">
      <c r="A95" s="1">
        <v>48</v>
      </c>
      <c r="B95" s="165" t="s">
        <v>138</v>
      </c>
      <c r="C95" s="165" t="s">
        <v>139</v>
      </c>
      <c r="D95" s="166"/>
      <c r="E95" s="167"/>
      <c r="F95" s="167"/>
      <c r="G95" s="168"/>
      <c r="H95" s="169">
        <v>10000</v>
      </c>
      <c r="I95" s="170">
        <v>9645.9500000000007</v>
      </c>
      <c r="J95" s="169">
        <v>10000</v>
      </c>
      <c r="K95" s="170">
        <v>10198</v>
      </c>
      <c r="L95" s="169">
        <v>12000</v>
      </c>
      <c r="M95" s="170">
        <v>11102</v>
      </c>
      <c r="N95" s="180">
        <v>11000</v>
      </c>
      <c r="O95" s="613">
        <v>9939</v>
      </c>
      <c r="P95" s="170">
        <v>11000</v>
      </c>
      <c r="Q95" s="181">
        <v>15000</v>
      </c>
      <c r="R95" s="3">
        <f t="shared" si="11"/>
        <v>48</v>
      </c>
    </row>
    <row r="96" spans="1:18" ht="15.75" thickTop="1" thickBot="1" x14ac:dyDescent="0.25">
      <c r="A96" s="1">
        <v>49</v>
      </c>
      <c r="B96" s="156" t="s">
        <v>140</v>
      </c>
      <c r="C96" s="156" t="s">
        <v>141</v>
      </c>
      <c r="D96" s="157"/>
      <c r="E96" s="158"/>
      <c r="F96" s="158"/>
      <c r="G96" s="159"/>
      <c r="H96" s="160">
        <v>8200</v>
      </c>
      <c r="I96" s="161">
        <v>8783.7900000000009</v>
      </c>
      <c r="J96" s="160">
        <v>10000</v>
      </c>
      <c r="K96" s="161">
        <v>8977</v>
      </c>
      <c r="L96" s="160">
        <v>10000</v>
      </c>
      <c r="M96" s="161">
        <v>9925</v>
      </c>
      <c r="N96" s="162">
        <v>10000</v>
      </c>
      <c r="O96" s="614">
        <v>6194</v>
      </c>
      <c r="P96" s="161">
        <v>10000</v>
      </c>
      <c r="Q96" s="163">
        <v>10000</v>
      </c>
      <c r="R96" s="3">
        <f t="shared" si="11"/>
        <v>49</v>
      </c>
    </row>
    <row r="97" spans="1:18" ht="15" thickTop="1" x14ac:dyDescent="0.2">
      <c r="A97" s="1">
        <v>50</v>
      </c>
      <c r="B97" s="150" t="s">
        <v>142</v>
      </c>
      <c r="C97" s="150" t="s">
        <v>143</v>
      </c>
      <c r="D97" s="151"/>
      <c r="E97" s="152"/>
      <c r="F97" s="152"/>
      <c r="G97" s="153"/>
      <c r="H97" s="154">
        <v>42640</v>
      </c>
      <c r="I97" s="155">
        <v>42348.14</v>
      </c>
      <c r="J97" s="154">
        <v>43358</v>
      </c>
      <c r="K97" s="155">
        <v>44447</v>
      </c>
      <c r="L97" s="154">
        <v>44225</v>
      </c>
      <c r="M97" s="155">
        <v>45765</v>
      </c>
      <c r="N97" s="175">
        <v>45000</v>
      </c>
      <c r="O97" s="611">
        <v>41157</v>
      </c>
      <c r="P97" s="155">
        <v>43000</v>
      </c>
      <c r="Q97" s="24">
        <v>41405</v>
      </c>
      <c r="R97" s="3">
        <f t="shared" si="11"/>
        <v>50</v>
      </c>
    </row>
    <row r="98" spans="1:18" x14ac:dyDescent="0.2">
      <c r="A98" s="1">
        <v>51</v>
      </c>
      <c r="B98" s="25" t="s">
        <v>144</v>
      </c>
      <c r="C98" s="25" t="s">
        <v>145</v>
      </c>
      <c r="D98" s="26"/>
      <c r="E98" s="27"/>
      <c r="F98" s="27"/>
      <c r="G98" s="28"/>
      <c r="H98" s="176">
        <f>H97*0.0765</f>
        <v>3261.96</v>
      </c>
      <c r="I98" s="30">
        <v>3251.1</v>
      </c>
      <c r="J98" s="176">
        <v>3317</v>
      </c>
      <c r="K98" s="177">
        <v>3400</v>
      </c>
      <c r="L98" s="176">
        <f>L97*0.0765</f>
        <v>3383.2125000000001</v>
      </c>
      <c r="M98" s="177">
        <v>3501</v>
      </c>
      <c r="N98" s="96">
        <f>N97*0.0765</f>
        <v>3442.5</v>
      </c>
      <c r="O98" s="600">
        <v>3125</v>
      </c>
      <c r="P98" s="177">
        <v>3443</v>
      </c>
      <c r="Q98" s="97">
        <f>Q97*0.0765</f>
        <v>3167.4825000000001</v>
      </c>
      <c r="R98" s="3">
        <f t="shared" si="11"/>
        <v>51</v>
      </c>
    </row>
    <row r="99" spans="1:18" x14ac:dyDescent="0.2">
      <c r="A99" s="1">
        <v>52</v>
      </c>
      <c r="B99" s="33" t="s">
        <v>146</v>
      </c>
      <c r="C99" s="33" t="s">
        <v>147</v>
      </c>
      <c r="D99" s="18"/>
      <c r="E99" s="19"/>
      <c r="F99" s="19"/>
      <c r="G99" s="20"/>
      <c r="H99" s="34">
        <f>H97*0.068</f>
        <v>2899.52</v>
      </c>
      <c r="I99" s="35">
        <v>2889.89</v>
      </c>
      <c r="J99" s="34">
        <v>2862</v>
      </c>
      <c r="K99" s="35">
        <v>2933</v>
      </c>
      <c r="L99" s="34">
        <f>L97*0.068</f>
        <v>3007.3</v>
      </c>
      <c r="M99" s="35">
        <v>3112</v>
      </c>
      <c r="N99" s="36">
        <f>N97*0.067</f>
        <v>3015</v>
      </c>
      <c r="O99" s="596">
        <v>2691</v>
      </c>
      <c r="P99" s="35">
        <v>3015</v>
      </c>
      <c r="Q99" s="54">
        <f>Q97*0.0655</f>
        <v>2712.0275000000001</v>
      </c>
      <c r="R99" s="3">
        <f t="shared" si="11"/>
        <v>52</v>
      </c>
    </row>
    <row r="100" spans="1:18" x14ac:dyDescent="0.2">
      <c r="A100" s="1">
        <v>53</v>
      </c>
      <c r="B100" s="25" t="s">
        <v>148</v>
      </c>
      <c r="C100" s="25" t="s">
        <v>603</v>
      </c>
      <c r="D100" s="26"/>
      <c r="E100" s="27"/>
      <c r="F100" s="27"/>
      <c r="G100" s="28"/>
      <c r="H100" s="29">
        <v>16060</v>
      </c>
      <c r="I100" s="30">
        <v>16323.08</v>
      </c>
      <c r="J100" s="29">
        <v>17500</v>
      </c>
      <c r="K100" s="30">
        <v>17428</v>
      </c>
      <c r="L100" s="29">
        <v>17180</v>
      </c>
      <c r="M100" s="30">
        <v>17450</v>
      </c>
      <c r="N100" s="56">
        <v>19575</v>
      </c>
      <c r="O100" s="600">
        <v>16661</v>
      </c>
      <c r="P100" s="30">
        <v>24500</v>
      </c>
      <c r="Q100" s="59">
        <v>18500</v>
      </c>
      <c r="R100" s="3">
        <f t="shared" si="11"/>
        <v>53</v>
      </c>
    </row>
    <row r="101" spans="1:18" ht="15" thickBot="1" x14ac:dyDescent="0.25">
      <c r="A101" s="1">
        <v>54</v>
      </c>
      <c r="B101" s="165" t="s">
        <v>149</v>
      </c>
      <c r="C101" s="165" t="s">
        <v>150</v>
      </c>
      <c r="D101" s="166"/>
      <c r="E101" s="167"/>
      <c r="F101" s="167"/>
      <c r="G101" s="168"/>
      <c r="H101" s="169">
        <v>350</v>
      </c>
      <c r="I101" s="170">
        <v>294.89999999999998</v>
      </c>
      <c r="J101" s="169">
        <v>350</v>
      </c>
      <c r="K101" s="170">
        <v>349.9</v>
      </c>
      <c r="L101" s="169">
        <v>350</v>
      </c>
      <c r="M101" s="170">
        <v>295</v>
      </c>
      <c r="N101" s="180">
        <v>350</v>
      </c>
      <c r="O101" s="616">
        <v>0</v>
      </c>
      <c r="P101" s="170">
        <v>350</v>
      </c>
      <c r="Q101" s="181">
        <v>350</v>
      </c>
      <c r="R101" s="3">
        <f t="shared" si="11"/>
        <v>54</v>
      </c>
    </row>
    <row r="102" spans="1:18" ht="15" thickTop="1" x14ac:dyDescent="0.2">
      <c r="A102" s="1">
        <v>55</v>
      </c>
      <c r="B102" s="182" t="s">
        <v>151</v>
      </c>
      <c r="C102" s="182" t="s">
        <v>152</v>
      </c>
      <c r="D102" s="183"/>
      <c r="E102" s="184"/>
      <c r="F102" s="184"/>
      <c r="G102" s="185"/>
      <c r="H102" s="186">
        <v>2000</v>
      </c>
      <c r="I102" s="187">
        <v>1111.2</v>
      </c>
      <c r="J102" s="186">
        <v>3500</v>
      </c>
      <c r="K102" s="187">
        <v>2126</v>
      </c>
      <c r="L102" s="186">
        <v>1500</v>
      </c>
      <c r="M102" s="187">
        <v>1302</v>
      </c>
      <c r="N102" s="188">
        <v>2000</v>
      </c>
      <c r="O102" s="617">
        <v>2132</v>
      </c>
      <c r="P102" s="187">
        <v>2500</v>
      </c>
      <c r="Q102" s="189">
        <v>8000</v>
      </c>
      <c r="R102" s="3">
        <f t="shared" si="11"/>
        <v>55</v>
      </c>
    </row>
    <row r="103" spans="1:18" ht="15" thickBot="1" x14ac:dyDescent="0.25">
      <c r="A103" s="1">
        <v>56</v>
      </c>
      <c r="B103" s="165" t="s">
        <v>153</v>
      </c>
      <c r="C103" s="165" t="s">
        <v>154</v>
      </c>
      <c r="D103" s="166"/>
      <c r="E103" s="167"/>
      <c r="F103" s="167"/>
      <c r="G103" s="168"/>
      <c r="H103" s="169">
        <v>2500</v>
      </c>
      <c r="I103" s="170">
        <v>668.25</v>
      </c>
      <c r="J103" s="169">
        <v>6000</v>
      </c>
      <c r="K103" s="170">
        <v>4180</v>
      </c>
      <c r="L103" s="169">
        <v>2500</v>
      </c>
      <c r="M103" s="170">
        <v>1168</v>
      </c>
      <c r="N103" s="180">
        <v>4500</v>
      </c>
      <c r="O103" s="616">
        <v>0</v>
      </c>
      <c r="P103" s="170">
        <v>4500</v>
      </c>
      <c r="Q103" s="181">
        <v>2500</v>
      </c>
      <c r="R103" s="3">
        <f t="shared" si="11"/>
        <v>56</v>
      </c>
    </row>
    <row r="104" spans="1:18" ht="15.75" thickTop="1" thickBot="1" x14ac:dyDescent="0.25">
      <c r="A104" s="1">
        <v>57</v>
      </c>
      <c r="B104" s="156" t="s">
        <v>155</v>
      </c>
      <c r="C104" s="156" t="s">
        <v>156</v>
      </c>
      <c r="D104" s="157"/>
      <c r="E104" s="158"/>
      <c r="F104" s="158"/>
      <c r="G104" s="159"/>
      <c r="H104" s="160">
        <v>9300</v>
      </c>
      <c r="I104" s="161">
        <v>8595</v>
      </c>
      <c r="J104" s="160">
        <v>10000</v>
      </c>
      <c r="K104" s="161">
        <v>11068</v>
      </c>
      <c r="L104" s="160">
        <v>12000</v>
      </c>
      <c r="M104" s="161">
        <v>9795</v>
      </c>
      <c r="N104" s="162">
        <v>12000</v>
      </c>
      <c r="O104" s="612">
        <v>8768</v>
      </c>
      <c r="P104" s="161">
        <v>10000</v>
      </c>
      <c r="Q104" s="163">
        <v>10000</v>
      </c>
      <c r="R104" s="3">
        <f t="shared" si="11"/>
        <v>57</v>
      </c>
    </row>
    <row r="105" spans="1:18" ht="15.75" thickTop="1" thickBot="1" x14ac:dyDescent="0.25">
      <c r="A105" s="1">
        <v>58</v>
      </c>
      <c r="B105" s="165" t="s">
        <v>157</v>
      </c>
      <c r="C105" s="165" t="s">
        <v>158</v>
      </c>
      <c r="D105" s="166"/>
      <c r="E105" s="167"/>
      <c r="F105" s="167"/>
      <c r="G105" s="168"/>
      <c r="H105" s="169">
        <v>12000</v>
      </c>
      <c r="I105" s="170">
        <v>11016.89</v>
      </c>
      <c r="J105" s="169">
        <v>12000</v>
      </c>
      <c r="K105" s="170">
        <v>12598</v>
      </c>
      <c r="L105" s="169">
        <v>12000</v>
      </c>
      <c r="M105" s="170">
        <v>11015</v>
      </c>
      <c r="N105" s="180">
        <v>12000</v>
      </c>
      <c r="O105" s="616">
        <v>7987</v>
      </c>
      <c r="P105" s="170">
        <v>9600</v>
      </c>
      <c r="Q105" s="181">
        <v>12000</v>
      </c>
      <c r="R105" s="3">
        <f t="shared" si="11"/>
        <v>58</v>
      </c>
    </row>
    <row r="106" spans="1:18" ht="15" thickTop="1" x14ac:dyDescent="0.2">
      <c r="A106" s="1">
        <v>59</v>
      </c>
      <c r="B106" s="182" t="s">
        <v>159</v>
      </c>
      <c r="C106" s="182" t="s">
        <v>160</v>
      </c>
      <c r="D106" s="183"/>
      <c r="E106" s="184"/>
      <c r="F106" s="184"/>
      <c r="G106" s="185"/>
      <c r="H106" s="186">
        <v>2500</v>
      </c>
      <c r="I106" s="187">
        <v>1933.38</v>
      </c>
      <c r="J106" s="186">
        <v>2500</v>
      </c>
      <c r="K106" s="187">
        <v>1552</v>
      </c>
      <c r="L106" s="186">
        <v>2000</v>
      </c>
      <c r="M106" s="187">
        <v>1994</v>
      </c>
      <c r="N106" s="55">
        <v>2000</v>
      </c>
      <c r="O106" s="618">
        <v>1450</v>
      </c>
      <c r="P106" s="187">
        <v>2200</v>
      </c>
      <c r="Q106" s="189">
        <v>2500</v>
      </c>
      <c r="R106" s="3">
        <f t="shared" si="11"/>
        <v>59</v>
      </c>
    </row>
    <row r="107" spans="1:18" x14ac:dyDescent="0.2">
      <c r="A107" s="1">
        <v>60</v>
      </c>
      <c r="B107" s="33" t="s">
        <v>161</v>
      </c>
      <c r="C107" s="33" t="s">
        <v>162</v>
      </c>
      <c r="D107" s="18"/>
      <c r="E107" s="19"/>
      <c r="F107" s="19"/>
      <c r="G107" s="20"/>
      <c r="H107" s="34">
        <v>3500</v>
      </c>
      <c r="I107" s="35">
        <v>3570.85</v>
      </c>
      <c r="J107" s="34">
        <v>3500</v>
      </c>
      <c r="K107" s="35">
        <v>3923</v>
      </c>
      <c r="L107" s="34">
        <v>3000</v>
      </c>
      <c r="M107" s="35">
        <v>3777</v>
      </c>
      <c r="N107" s="36">
        <v>4000</v>
      </c>
      <c r="O107" s="596">
        <v>2706</v>
      </c>
      <c r="P107" s="35">
        <v>3300</v>
      </c>
      <c r="Q107" s="54">
        <v>4000</v>
      </c>
      <c r="R107" s="3">
        <f t="shared" si="11"/>
        <v>60</v>
      </c>
    </row>
    <row r="108" spans="1:18" x14ac:dyDescent="0.2">
      <c r="A108" s="1">
        <v>61</v>
      </c>
      <c r="B108" s="25" t="s">
        <v>163</v>
      </c>
      <c r="C108" s="25" t="s">
        <v>164</v>
      </c>
      <c r="D108" s="26"/>
      <c r="E108" s="27"/>
      <c r="F108" s="27"/>
      <c r="G108" s="28"/>
      <c r="H108" s="29">
        <v>3000</v>
      </c>
      <c r="I108" s="30">
        <v>2582.5100000000002</v>
      </c>
      <c r="J108" s="29">
        <v>3000</v>
      </c>
      <c r="K108" s="30">
        <v>2660</v>
      </c>
      <c r="L108" s="29">
        <v>3000</v>
      </c>
      <c r="M108" s="30">
        <v>2599</v>
      </c>
      <c r="N108" s="53">
        <v>3000</v>
      </c>
      <c r="O108" s="595">
        <v>2199</v>
      </c>
      <c r="P108" s="30">
        <v>2700</v>
      </c>
      <c r="Q108" s="41">
        <v>3000</v>
      </c>
      <c r="R108" s="3">
        <f t="shared" si="11"/>
        <v>61</v>
      </c>
    </row>
    <row r="109" spans="1:18" x14ac:dyDescent="0.2">
      <c r="A109" s="1">
        <v>62</v>
      </c>
      <c r="B109" s="33" t="s">
        <v>165</v>
      </c>
      <c r="C109" s="33" t="s">
        <v>166</v>
      </c>
      <c r="D109" s="18"/>
      <c r="E109" s="19"/>
      <c r="F109" s="19"/>
      <c r="G109" s="20"/>
      <c r="H109" s="34">
        <v>0</v>
      </c>
      <c r="I109" s="35">
        <v>0</v>
      </c>
      <c r="J109" s="34">
        <v>2500</v>
      </c>
      <c r="K109" s="35">
        <v>0</v>
      </c>
      <c r="L109" s="34">
        <v>4003</v>
      </c>
      <c r="M109" s="35"/>
      <c r="N109" s="36">
        <v>36099</v>
      </c>
      <c r="O109" s="601">
        <v>20600</v>
      </c>
      <c r="P109" s="35">
        <v>36099</v>
      </c>
      <c r="Q109" s="54">
        <v>0</v>
      </c>
      <c r="R109" s="3">
        <f t="shared" si="11"/>
        <v>62</v>
      </c>
    </row>
    <row r="110" spans="1:18" x14ac:dyDescent="0.2">
      <c r="A110" s="1">
        <v>63</v>
      </c>
      <c r="B110" s="25" t="s">
        <v>167</v>
      </c>
      <c r="C110" s="25" t="s">
        <v>168</v>
      </c>
      <c r="D110" s="26"/>
      <c r="E110" s="27"/>
      <c r="F110" s="27"/>
      <c r="G110" s="28"/>
      <c r="H110" s="29">
        <v>2500</v>
      </c>
      <c r="I110" s="30">
        <v>52.9</v>
      </c>
      <c r="J110" s="29">
        <v>2500</v>
      </c>
      <c r="K110" s="30">
        <v>2054</v>
      </c>
      <c r="L110" s="29">
        <v>2500</v>
      </c>
      <c r="M110" s="30"/>
      <c r="N110" s="56">
        <v>2500</v>
      </c>
      <c r="O110" s="595">
        <v>0</v>
      </c>
      <c r="P110" s="30">
        <v>2500</v>
      </c>
      <c r="Q110" s="59">
        <v>2500</v>
      </c>
      <c r="R110" s="3">
        <f t="shared" si="11"/>
        <v>63</v>
      </c>
    </row>
    <row r="111" spans="1:18" x14ac:dyDescent="0.2">
      <c r="A111" s="1">
        <v>64</v>
      </c>
      <c r="B111" s="33" t="s">
        <v>169</v>
      </c>
      <c r="C111" s="33" t="s">
        <v>170</v>
      </c>
      <c r="D111" s="18"/>
      <c r="E111" s="19"/>
      <c r="F111" s="19"/>
      <c r="G111" s="20"/>
      <c r="H111" s="34">
        <v>12000</v>
      </c>
      <c r="I111" s="35">
        <v>12192</v>
      </c>
      <c r="J111" s="34">
        <v>12500</v>
      </c>
      <c r="K111" s="35">
        <v>11106</v>
      </c>
      <c r="L111" s="34">
        <v>12500</v>
      </c>
      <c r="M111" s="35">
        <v>14422</v>
      </c>
      <c r="N111" s="36">
        <v>11500</v>
      </c>
      <c r="O111" s="596">
        <v>26600</v>
      </c>
      <c r="P111" s="35">
        <v>26600</v>
      </c>
      <c r="Q111" s="54">
        <v>13000</v>
      </c>
      <c r="R111" s="3">
        <f t="shared" si="11"/>
        <v>64</v>
      </c>
    </row>
    <row r="112" spans="1:18" x14ac:dyDescent="0.2">
      <c r="A112" s="1">
        <v>65</v>
      </c>
      <c r="B112" s="25" t="s">
        <v>171</v>
      </c>
      <c r="C112" s="25" t="s">
        <v>172</v>
      </c>
      <c r="D112" s="26"/>
      <c r="E112" s="27"/>
      <c r="F112" s="27"/>
      <c r="G112" s="28"/>
      <c r="H112" s="29">
        <v>500</v>
      </c>
      <c r="I112" s="30">
        <v>570</v>
      </c>
      <c r="J112" s="29">
        <v>500</v>
      </c>
      <c r="K112" s="30">
        <v>750</v>
      </c>
      <c r="L112" s="29">
        <v>500</v>
      </c>
      <c r="M112" s="30">
        <v>660</v>
      </c>
      <c r="N112" s="56">
        <v>500</v>
      </c>
      <c r="O112" s="595">
        <v>510</v>
      </c>
      <c r="P112" s="30">
        <v>510</v>
      </c>
      <c r="Q112" s="59">
        <v>500</v>
      </c>
      <c r="R112" s="3">
        <f t="shared" si="11"/>
        <v>65</v>
      </c>
    </row>
    <row r="113" spans="1:18" x14ac:dyDescent="0.2">
      <c r="A113" s="1">
        <v>66</v>
      </c>
      <c r="B113" s="150" t="s">
        <v>173</v>
      </c>
      <c r="C113" s="150" t="s">
        <v>174</v>
      </c>
      <c r="D113" s="151"/>
      <c r="E113" s="152"/>
      <c r="F113" s="152"/>
      <c r="G113" s="153"/>
      <c r="H113" s="154">
        <v>4000</v>
      </c>
      <c r="I113" s="155">
        <v>5844.09</v>
      </c>
      <c r="J113" s="154">
        <v>5000</v>
      </c>
      <c r="K113" s="155">
        <v>4003</v>
      </c>
      <c r="L113" s="154">
        <v>5000</v>
      </c>
      <c r="M113" s="155">
        <v>4082</v>
      </c>
      <c r="N113" s="175">
        <v>2500</v>
      </c>
      <c r="O113" s="615">
        <v>2670</v>
      </c>
      <c r="P113" s="155">
        <v>2670</v>
      </c>
      <c r="Q113" s="24">
        <v>2500</v>
      </c>
      <c r="R113" s="3">
        <f t="shared" si="11"/>
        <v>66</v>
      </c>
    </row>
    <row r="114" spans="1:18" ht="15" thickBot="1" x14ac:dyDescent="0.25">
      <c r="A114" s="1">
        <v>67</v>
      </c>
      <c r="B114" s="156" t="s">
        <v>175</v>
      </c>
      <c r="C114" s="156" t="s">
        <v>176</v>
      </c>
      <c r="D114" s="157"/>
      <c r="E114" s="158"/>
      <c r="F114" s="158"/>
      <c r="G114" s="159"/>
      <c r="H114" s="160">
        <v>2000</v>
      </c>
      <c r="I114" s="161">
        <v>3450.68</v>
      </c>
      <c r="J114" s="160">
        <v>2000</v>
      </c>
      <c r="K114" s="161">
        <v>5180</v>
      </c>
      <c r="L114" s="160">
        <v>3500</v>
      </c>
      <c r="M114" s="161">
        <v>3566</v>
      </c>
      <c r="N114" s="162">
        <v>9000</v>
      </c>
      <c r="O114" s="614">
        <v>2880</v>
      </c>
      <c r="P114" s="161">
        <v>9000</v>
      </c>
      <c r="Q114" s="163">
        <v>6000</v>
      </c>
      <c r="R114" s="3">
        <f t="shared" si="11"/>
        <v>67</v>
      </c>
    </row>
    <row r="115" spans="1:18" ht="15.75" thickTop="1" thickBot="1" x14ac:dyDescent="0.25">
      <c r="A115" s="1">
        <v>68</v>
      </c>
      <c r="B115" s="78" t="s">
        <v>177</v>
      </c>
      <c r="C115" s="78" t="s">
        <v>178</v>
      </c>
      <c r="D115" s="151"/>
      <c r="E115" s="152"/>
      <c r="F115" s="152"/>
      <c r="G115" s="153"/>
      <c r="H115" s="80">
        <v>0</v>
      </c>
      <c r="I115" s="85">
        <v>0</v>
      </c>
      <c r="J115" s="80">
        <v>0</v>
      </c>
      <c r="K115" s="85"/>
      <c r="L115" s="190"/>
      <c r="M115" s="85">
        <v>0</v>
      </c>
      <c r="N115" s="190"/>
      <c r="O115" s="619"/>
      <c r="P115" s="191">
        <v>0</v>
      </c>
      <c r="Q115" s="172">
        <v>0</v>
      </c>
      <c r="R115" s="3">
        <f t="shared" si="11"/>
        <v>68</v>
      </c>
    </row>
    <row r="116" spans="1:18" ht="15" thickBot="1" x14ac:dyDescent="0.25">
      <c r="B116" s="42"/>
      <c r="C116" s="43" t="s">
        <v>179</v>
      </c>
      <c r="D116" s="44"/>
      <c r="E116" s="44"/>
      <c r="F116" s="44"/>
      <c r="G116" s="44"/>
      <c r="H116" s="45">
        <f t="shared" ref="H116:Q116" si="12">SUM(H85:H115)</f>
        <v>229834.07999999996</v>
      </c>
      <c r="I116" s="88">
        <f t="shared" si="12"/>
        <v>220719.08</v>
      </c>
      <c r="J116" s="45">
        <f t="shared" si="12"/>
        <v>250712</v>
      </c>
      <c r="K116" s="192">
        <f t="shared" si="12"/>
        <v>247367.9</v>
      </c>
      <c r="L116" s="193">
        <f t="shared" si="12"/>
        <v>255504.1635</v>
      </c>
      <c r="M116" s="88">
        <f t="shared" si="12"/>
        <v>241966</v>
      </c>
      <c r="N116" s="45">
        <f t="shared" si="12"/>
        <v>301220</v>
      </c>
      <c r="O116" s="620">
        <f t="shared" si="12"/>
        <v>245274</v>
      </c>
      <c r="P116" s="88">
        <f t="shared" si="12"/>
        <v>316658</v>
      </c>
      <c r="Q116" s="194">
        <f t="shared" si="12"/>
        <v>263568.03000000003</v>
      </c>
    </row>
    <row r="117" spans="1:18" ht="15" thickBot="1" x14ac:dyDescent="0.25">
      <c r="B117" s="764" t="s">
        <v>180</v>
      </c>
      <c r="C117" s="764"/>
      <c r="D117" s="764"/>
      <c r="E117" s="764"/>
      <c r="F117" s="764"/>
      <c r="G117" s="764"/>
      <c r="H117" s="764"/>
      <c r="I117" s="764"/>
      <c r="J117" s="764"/>
      <c r="K117" s="764"/>
      <c r="L117" s="764"/>
      <c r="M117" s="764"/>
      <c r="N117" s="764"/>
      <c r="O117" s="764"/>
      <c r="P117" s="764"/>
      <c r="Q117" s="764"/>
    </row>
    <row r="118" spans="1:18" ht="15" thickBot="1" x14ac:dyDescent="0.25">
      <c r="B118" s="52"/>
      <c r="C118" s="52"/>
      <c r="D118" s="760">
        <v>2013</v>
      </c>
      <c r="E118" s="760"/>
      <c r="F118" s="765">
        <v>2014</v>
      </c>
      <c r="G118" s="765"/>
      <c r="H118" s="752">
        <v>2015</v>
      </c>
      <c r="I118" s="752"/>
      <c r="J118" s="752">
        <v>2016</v>
      </c>
      <c r="K118" s="752"/>
      <c r="L118" s="752">
        <v>2017</v>
      </c>
      <c r="M118" s="752"/>
      <c r="N118" s="752">
        <f>$N$2</f>
        <v>2018</v>
      </c>
      <c r="O118" s="752"/>
      <c r="P118" s="752"/>
      <c r="Q118" s="761" t="str">
        <f>$Q$2</f>
        <v>2019 Proposed</v>
      </c>
    </row>
    <row r="119" spans="1:18" s="16" customFormat="1" ht="13.5" customHeight="1" thickBot="1" x14ac:dyDescent="0.25">
      <c r="A119" s="8"/>
      <c r="B119" s="9" t="s">
        <v>2</v>
      </c>
      <c r="C119" s="9" t="s">
        <v>3</v>
      </c>
      <c r="D119" s="10" t="s">
        <v>4</v>
      </c>
      <c r="E119" s="10" t="s">
        <v>5</v>
      </c>
      <c r="F119" s="10" t="s">
        <v>4</v>
      </c>
      <c r="G119" s="10" t="s">
        <v>5</v>
      </c>
      <c r="H119" s="11" t="s">
        <v>6</v>
      </c>
      <c r="I119" s="12" t="s">
        <v>4</v>
      </c>
      <c r="J119" s="11" t="s">
        <v>6</v>
      </c>
      <c r="K119" s="12" t="s">
        <v>4</v>
      </c>
      <c r="L119" s="11" t="s">
        <v>6</v>
      </c>
      <c r="M119" s="12" t="str">
        <f>$M$3</f>
        <v>Actual</v>
      </c>
      <c r="N119" s="11" t="s">
        <v>6</v>
      </c>
      <c r="O119" s="593" t="str">
        <f>$O$3</f>
        <v>As of 10/31</v>
      </c>
      <c r="P119" s="12" t="s">
        <v>8</v>
      </c>
      <c r="Q119" s="761"/>
      <c r="R119" s="3"/>
    </row>
    <row r="120" spans="1:18" x14ac:dyDescent="0.2">
      <c r="A120" s="1">
        <v>69</v>
      </c>
      <c r="B120" s="17" t="s">
        <v>181</v>
      </c>
      <c r="C120" s="17" t="s">
        <v>182</v>
      </c>
      <c r="D120" s="18"/>
      <c r="E120" s="19"/>
      <c r="F120" s="19"/>
      <c r="G120" s="20"/>
      <c r="H120" s="21">
        <v>33662</v>
      </c>
      <c r="I120" s="22">
        <v>33662</v>
      </c>
      <c r="J120" s="21">
        <v>34592</v>
      </c>
      <c r="K120" s="22">
        <v>34592</v>
      </c>
      <c r="L120" s="195">
        <v>34000</v>
      </c>
      <c r="M120" s="22">
        <v>33890</v>
      </c>
      <c r="N120" s="196">
        <v>34490</v>
      </c>
      <c r="O120" s="594">
        <v>34490</v>
      </c>
      <c r="P120" s="22">
        <v>34490</v>
      </c>
      <c r="Q120" s="197">
        <v>41516</v>
      </c>
      <c r="R120" s="3">
        <f t="shared" ref="R120:R125" si="13">A120</f>
        <v>69</v>
      </c>
    </row>
    <row r="121" spans="1:18" x14ac:dyDescent="0.2">
      <c r="A121" s="1">
        <v>70</v>
      </c>
      <c r="B121" s="25" t="s">
        <v>183</v>
      </c>
      <c r="C121" s="25" t="s">
        <v>184</v>
      </c>
      <c r="D121" s="26"/>
      <c r="E121" s="27"/>
      <c r="F121" s="27"/>
      <c r="G121" s="28"/>
      <c r="H121" s="29">
        <v>84000</v>
      </c>
      <c r="I121" s="30">
        <v>71869.09</v>
      </c>
      <c r="J121" s="29">
        <v>90500</v>
      </c>
      <c r="K121" s="30">
        <v>76019</v>
      </c>
      <c r="L121" s="198">
        <v>90000</v>
      </c>
      <c r="M121" s="30">
        <v>71763</v>
      </c>
      <c r="N121" s="96">
        <v>94920</v>
      </c>
      <c r="O121" s="595">
        <v>0</v>
      </c>
      <c r="P121" s="30">
        <v>94920</v>
      </c>
      <c r="Q121" s="97">
        <v>95882</v>
      </c>
      <c r="R121" s="3">
        <f t="shared" si="13"/>
        <v>70</v>
      </c>
    </row>
    <row r="122" spans="1:18" x14ac:dyDescent="0.2">
      <c r="A122" s="1">
        <v>71</v>
      </c>
      <c r="B122" s="33" t="s">
        <v>185</v>
      </c>
      <c r="C122" s="33" t="s">
        <v>186</v>
      </c>
      <c r="D122" s="18"/>
      <c r="E122" s="19"/>
      <c r="F122" s="19"/>
      <c r="G122" s="20"/>
      <c r="H122" s="34">
        <v>4850</v>
      </c>
      <c r="I122" s="35">
        <v>4857.68</v>
      </c>
      <c r="J122" s="34">
        <v>13744</v>
      </c>
      <c r="K122" s="35">
        <v>13743</v>
      </c>
      <c r="L122" s="34">
        <v>18500</v>
      </c>
      <c r="M122" s="35">
        <v>18432</v>
      </c>
      <c r="N122" s="199">
        <v>22740</v>
      </c>
      <c r="O122" s="596">
        <v>22740</v>
      </c>
      <c r="P122" s="35">
        <v>22740</v>
      </c>
      <c r="Q122" s="567">
        <v>26967</v>
      </c>
      <c r="R122" s="3">
        <f t="shared" si="13"/>
        <v>71</v>
      </c>
    </row>
    <row r="123" spans="1:18" x14ac:dyDescent="0.2">
      <c r="A123" s="1">
        <v>72</v>
      </c>
      <c r="B123" s="25" t="s">
        <v>187</v>
      </c>
      <c r="C123" s="25" t="s">
        <v>188</v>
      </c>
      <c r="D123" s="26"/>
      <c r="E123" s="27"/>
      <c r="F123" s="27"/>
      <c r="G123" s="28"/>
      <c r="H123" s="29">
        <v>14336</v>
      </c>
      <c r="I123" s="30">
        <v>14396</v>
      </c>
      <c r="J123" s="29">
        <v>14612</v>
      </c>
      <c r="K123" s="30">
        <v>14612</v>
      </c>
      <c r="L123" s="29">
        <v>15000</v>
      </c>
      <c r="M123" s="30">
        <v>14831</v>
      </c>
      <c r="N123" s="96">
        <v>15000</v>
      </c>
      <c r="O123" s="595">
        <v>0</v>
      </c>
      <c r="P123" s="30">
        <v>15000</v>
      </c>
      <c r="Q123" s="589">
        <v>15279</v>
      </c>
      <c r="R123" s="3">
        <f t="shared" si="13"/>
        <v>72</v>
      </c>
    </row>
    <row r="124" spans="1:18" x14ac:dyDescent="0.2">
      <c r="A124" s="1">
        <v>73</v>
      </c>
      <c r="B124" s="33" t="s">
        <v>189</v>
      </c>
      <c r="C124" s="33" t="s">
        <v>190</v>
      </c>
      <c r="D124" s="18"/>
      <c r="E124" s="19"/>
      <c r="F124" s="19"/>
      <c r="G124" s="20"/>
      <c r="H124" s="34">
        <v>10010</v>
      </c>
      <c r="I124" s="35">
        <v>10010</v>
      </c>
      <c r="J124" s="34">
        <v>11416</v>
      </c>
      <c r="K124" s="35">
        <v>11415.6</v>
      </c>
      <c r="L124" s="34">
        <v>14500</v>
      </c>
      <c r="M124" s="35">
        <v>14376</v>
      </c>
      <c r="N124" s="36">
        <v>14376</v>
      </c>
      <c r="O124" s="596">
        <v>14376</v>
      </c>
      <c r="P124" s="35">
        <v>14376</v>
      </c>
      <c r="Q124" s="54">
        <v>15080</v>
      </c>
      <c r="R124" s="3">
        <f t="shared" si="13"/>
        <v>73</v>
      </c>
    </row>
    <row r="125" spans="1:18" ht="15" thickBot="1" x14ac:dyDescent="0.25">
      <c r="A125" s="1">
        <v>74</v>
      </c>
      <c r="B125" s="37" t="s">
        <v>191</v>
      </c>
      <c r="C125" s="37" t="s">
        <v>192</v>
      </c>
      <c r="D125" s="26"/>
      <c r="E125" s="27"/>
      <c r="F125" s="27"/>
      <c r="G125" s="28"/>
      <c r="H125" s="62">
        <v>35000</v>
      </c>
      <c r="I125" s="63">
        <v>60222.39</v>
      </c>
      <c r="J125" s="62">
        <v>35000</v>
      </c>
      <c r="K125" s="63">
        <v>65399</v>
      </c>
      <c r="L125" s="62">
        <v>44000</v>
      </c>
      <c r="M125" s="63">
        <v>53009</v>
      </c>
      <c r="N125" s="64">
        <v>44000</v>
      </c>
      <c r="O125" s="621">
        <v>35648</v>
      </c>
      <c r="P125" s="63">
        <v>51000</v>
      </c>
      <c r="Q125" s="65">
        <v>34000</v>
      </c>
      <c r="R125" s="3">
        <f t="shared" si="13"/>
        <v>74</v>
      </c>
    </row>
    <row r="126" spans="1:18" ht="15" thickBot="1" x14ac:dyDescent="0.25">
      <c r="B126" s="200"/>
      <c r="C126" s="201" t="s">
        <v>193</v>
      </c>
      <c r="D126" s="202"/>
      <c r="E126" s="203"/>
      <c r="F126" s="203"/>
      <c r="G126" s="204"/>
      <c r="H126" s="45">
        <f t="shared" ref="H126:Q126" si="14">SUM(H120:H125)</f>
        <v>181858</v>
      </c>
      <c r="I126" s="88">
        <f t="shared" si="14"/>
        <v>195017.15999999997</v>
      </c>
      <c r="J126" s="45">
        <f t="shared" si="14"/>
        <v>199864</v>
      </c>
      <c r="K126" s="88">
        <f t="shared" si="14"/>
        <v>215780.6</v>
      </c>
      <c r="L126" s="45">
        <f t="shared" si="14"/>
        <v>216000</v>
      </c>
      <c r="M126" s="88">
        <f t="shared" si="14"/>
        <v>206301</v>
      </c>
      <c r="N126" s="45">
        <f t="shared" si="14"/>
        <v>225526</v>
      </c>
      <c r="O126" s="598">
        <f t="shared" si="14"/>
        <v>107254</v>
      </c>
      <c r="P126" s="88">
        <f t="shared" si="14"/>
        <v>232526</v>
      </c>
      <c r="Q126" s="48">
        <f t="shared" si="14"/>
        <v>228724</v>
      </c>
    </row>
    <row r="127" spans="1:18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622"/>
      <c r="P127" s="10"/>
      <c r="Q127" s="206"/>
    </row>
    <row r="128" spans="1:18" ht="15" thickBot="1" x14ac:dyDescent="0.25">
      <c r="B128" s="764" t="s">
        <v>194</v>
      </c>
      <c r="C128" s="764"/>
      <c r="D128" s="764"/>
      <c r="E128" s="764"/>
      <c r="F128" s="764"/>
      <c r="G128" s="764"/>
      <c r="H128" s="764"/>
      <c r="I128" s="764"/>
      <c r="J128" s="764"/>
      <c r="K128" s="764"/>
      <c r="L128" s="764"/>
      <c r="M128" s="764"/>
      <c r="N128" s="764"/>
      <c r="O128" s="764"/>
      <c r="P128" s="764"/>
      <c r="Q128" s="764"/>
    </row>
    <row r="129" spans="1:18" ht="14.25" customHeight="1" thickBot="1" x14ac:dyDescent="0.25">
      <c r="B129" s="52"/>
      <c r="C129" s="52"/>
      <c r="D129" s="760">
        <v>2013</v>
      </c>
      <c r="E129" s="760"/>
      <c r="F129" s="765">
        <v>2014</v>
      </c>
      <c r="G129" s="765"/>
      <c r="H129" s="752">
        <v>2015</v>
      </c>
      <c r="I129" s="752"/>
      <c r="J129" s="752">
        <v>2016</v>
      </c>
      <c r="K129" s="752"/>
      <c r="L129" s="752">
        <v>2017</v>
      </c>
      <c r="M129" s="752"/>
      <c r="N129" s="752">
        <f>$N$2</f>
        <v>2018</v>
      </c>
      <c r="O129" s="752"/>
      <c r="P129" s="752"/>
      <c r="Q129" s="761" t="str">
        <f>$Q$2</f>
        <v>2019 Proposed</v>
      </c>
    </row>
    <row r="130" spans="1:18" s="16" customFormat="1" ht="13.5" customHeight="1" thickBot="1" x14ac:dyDescent="0.25">
      <c r="A130" s="8"/>
      <c r="B130" s="9" t="s">
        <v>2</v>
      </c>
      <c r="C130" s="9" t="s">
        <v>3</v>
      </c>
      <c r="D130" s="10" t="s">
        <v>4</v>
      </c>
      <c r="E130" s="10" t="s">
        <v>5</v>
      </c>
      <c r="F130" s="10" t="s">
        <v>4</v>
      </c>
      <c r="G130" s="10" t="s">
        <v>5</v>
      </c>
      <c r="H130" s="11" t="s">
        <v>6</v>
      </c>
      <c r="I130" s="12" t="s">
        <v>4</v>
      </c>
      <c r="J130" s="11" t="s">
        <v>6</v>
      </c>
      <c r="K130" s="12" t="s">
        <v>4</v>
      </c>
      <c r="L130" s="11" t="s">
        <v>6</v>
      </c>
      <c r="M130" s="12" t="str">
        <f>$M$3</f>
        <v>Actual</v>
      </c>
      <c r="N130" s="11" t="s">
        <v>6</v>
      </c>
      <c r="O130" s="593" t="str">
        <f>$O$3</f>
        <v>As of 10/31</v>
      </c>
      <c r="P130" s="12" t="s">
        <v>8</v>
      </c>
      <c r="Q130" s="761"/>
      <c r="R130" s="3"/>
    </row>
    <row r="131" spans="1:18" x14ac:dyDescent="0.2">
      <c r="A131" s="1">
        <v>75</v>
      </c>
      <c r="B131" s="17" t="s">
        <v>195</v>
      </c>
      <c r="C131" s="17" t="s">
        <v>196</v>
      </c>
      <c r="D131" s="18"/>
      <c r="E131" s="19"/>
      <c r="F131" s="19"/>
      <c r="G131" s="20"/>
      <c r="H131" s="769">
        <v>67500</v>
      </c>
      <c r="I131" s="207">
        <v>54184</v>
      </c>
      <c r="J131" s="769">
        <v>64901</v>
      </c>
      <c r="K131" s="207">
        <v>66256</v>
      </c>
      <c r="L131" s="770">
        <v>62000</v>
      </c>
      <c r="M131" s="771">
        <v>66700</v>
      </c>
      <c r="N131" s="208">
        <v>60500</v>
      </c>
      <c r="O131" s="623">
        <v>46934</v>
      </c>
      <c r="P131" s="207">
        <v>60000</v>
      </c>
      <c r="Q131" s="209">
        <v>58140</v>
      </c>
      <c r="R131" s="3">
        <f t="shared" ref="R131:R150" si="15">A131</f>
        <v>75</v>
      </c>
    </row>
    <row r="132" spans="1:18" hidden="1" x14ac:dyDescent="0.2">
      <c r="B132" s="210" t="s">
        <v>197</v>
      </c>
      <c r="C132" s="25" t="s">
        <v>198</v>
      </c>
      <c r="D132" s="26"/>
      <c r="E132" s="27"/>
      <c r="F132" s="27"/>
      <c r="G132" s="28"/>
      <c r="H132" s="769"/>
      <c r="I132" s="211">
        <v>3717</v>
      </c>
      <c r="J132" s="769"/>
      <c r="K132" s="211">
        <v>5133</v>
      </c>
      <c r="L132" s="770"/>
      <c r="M132" s="771"/>
      <c r="N132" s="212"/>
      <c r="O132" s="624"/>
      <c r="P132" s="211"/>
      <c r="Q132" s="213"/>
      <c r="R132" s="3">
        <f t="shared" si="15"/>
        <v>0</v>
      </c>
    </row>
    <row r="133" spans="1:18" x14ac:dyDescent="0.2">
      <c r="A133" s="1">
        <v>76</v>
      </c>
      <c r="B133" s="25" t="s">
        <v>199</v>
      </c>
      <c r="C133" s="25" t="s">
        <v>200</v>
      </c>
      <c r="D133" s="26"/>
      <c r="E133" s="27"/>
      <c r="F133" s="27"/>
      <c r="G133" s="28"/>
      <c r="H133" s="214">
        <v>5202</v>
      </c>
      <c r="I133" s="211">
        <v>4429.4399999999996</v>
      </c>
      <c r="J133" s="214">
        <v>4965</v>
      </c>
      <c r="K133" s="211">
        <v>5461</v>
      </c>
      <c r="L133" s="215">
        <v>4700</v>
      </c>
      <c r="M133" s="211">
        <v>5152</v>
      </c>
      <c r="N133" s="56">
        <f>SUM(N131+N132)*0.0765</f>
        <v>4628.25</v>
      </c>
      <c r="O133" s="625">
        <v>3590</v>
      </c>
      <c r="P133" s="211">
        <v>4628</v>
      </c>
      <c r="Q133" s="59">
        <f>Q131*0.0765</f>
        <v>4447.71</v>
      </c>
      <c r="R133" s="3">
        <f t="shared" si="15"/>
        <v>76</v>
      </c>
    </row>
    <row r="134" spans="1:18" x14ac:dyDescent="0.2">
      <c r="A134" s="1">
        <v>77</v>
      </c>
      <c r="B134" s="33" t="s">
        <v>201</v>
      </c>
      <c r="C134" s="33" t="s">
        <v>202</v>
      </c>
      <c r="D134" s="18"/>
      <c r="E134" s="19"/>
      <c r="F134" s="19"/>
      <c r="G134" s="20"/>
      <c r="H134" s="216">
        <f>I131*0.068</f>
        <v>3684.5120000000002</v>
      </c>
      <c r="I134" s="217">
        <v>3705.86</v>
      </c>
      <c r="J134" s="216">
        <v>3295</v>
      </c>
      <c r="K134" s="218">
        <v>4375</v>
      </c>
      <c r="L134" s="216">
        <v>3810</v>
      </c>
      <c r="M134" s="218">
        <v>4160</v>
      </c>
      <c r="N134" s="219">
        <v>3518</v>
      </c>
      <c r="O134" s="626">
        <v>2893</v>
      </c>
      <c r="P134" s="218">
        <v>4054</v>
      </c>
      <c r="Q134" s="220">
        <f>Q131*0.0655</f>
        <v>3808.17</v>
      </c>
      <c r="R134" s="3">
        <f t="shared" si="15"/>
        <v>77</v>
      </c>
    </row>
    <row r="135" spans="1:18" x14ac:dyDescent="0.2">
      <c r="A135" s="1">
        <v>78</v>
      </c>
      <c r="B135" s="25" t="s">
        <v>203</v>
      </c>
      <c r="C135" s="25" t="s">
        <v>204</v>
      </c>
      <c r="D135" s="26"/>
      <c r="E135" s="27"/>
      <c r="F135" s="27"/>
      <c r="G135" s="28"/>
      <c r="H135" s="214">
        <v>16060</v>
      </c>
      <c r="I135" s="211">
        <v>16323.08</v>
      </c>
      <c r="J135" s="214">
        <v>17495</v>
      </c>
      <c r="K135" s="211">
        <v>17429</v>
      </c>
      <c r="L135" s="214">
        <v>27750</v>
      </c>
      <c r="M135" s="211">
        <v>8779</v>
      </c>
      <c r="N135" s="56">
        <v>19575</v>
      </c>
      <c r="O135" s="625">
        <v>4700</v>
      </c>
      <c r="P135" s="211">
        <v>5000</v>
      </c>
      <c r="Q135" s="59">
        <v>18500</v>
      </c>
      <c r="R135" s="3">
        <f t="shared" si="15"/>
        <v>78</v>
      </c>
    </row>
    <row r="136" spans="1:18" x14ac:dyDescent="0.2">
      <c r="A136" s="1">
        <v>79</v>
      </c>
      <c r="B136" s="150" t="s">
        <v>205</v>
      </c>
      <c r="C136" s="150" t="s">
        <v>206</v>
      </c>
      <c r="D136" s="151"/>
      <c r="E136" s="152"/>
      <c r="F136" s="152"/>
      <c r="G136" s="153"/>
      <c r="H136" s="221">
        <v>75000</v>
      </c>
      <c r="I136" s="222">
        <v>80505.75</v>
      </c>
      <c r="J136" s="221">
        <v>75000</v>
      </c>
      <c r="K136" s="222">
        <v>62526</v>
      </c>
      <c r="L136" s="223">
        <v>78000</v>
      </c>
      <c r="M136" s="222">
        <v>63712</v>
      </c>
      <c r="N136" s="224">
        <v>70000</v>
      </c>
      <c r="O136" s="627">
        <v>54538</v>
      </c>
      <c r="P136" s="222">
        <v>55000</v>
      </c>
      <c r="Q136" s="225">
        <v>75000</v>
      </c>
      <c r="R136" s="3">
        <f t="shared" si="15"/>
        <v>79</v>
      </c>
    </row>
    <row r="137" spans="1:18" x14ac:dyDescent="0.2">
      <c r="A137" s="1">
        <v>80</v>
      </c>
      <c r="B137" s="25" t="s">
        <v>207</v>
      </c>
      <c r="C137" s="25" t="s">
        <v>208</v>
      </c>
      <c r="D137" s="26"/>
      <c r="E137" s="27"/>
      <c r="F137" s="27"/>
      <c r="G137" s="28"/>
      <c r="H137" s="214">
        <v>35000</v>
      </c>
      <c r="I137" s="211">
        <v>26245.79</v>
      </c>
      <c r="J137" s="214">
        <v>35000</v>
      </c>
      <c r="K137" s="211">
        <v>29525</v>
      </c>
      <c r="L137" s="214">
        <v>35000</v>
      </c>
      <c r="M137" s="211">
        <v>45263</v>
      </c>
      <c r="N137" s="226">
        <v>42000</v>
      </c>
      <c r="O137" s="624">
        <v>32624</v>
      </c>
      <c r="P137" s="211">
        <v>42000</v>
      </c>
      <c r="Q137" s="227">
        <v>42000</v>
      </c>
      <c r="R137" s="3">
        <f t="shared" si="15"/>
        <v>80</v>
      </c>
    </row>
    <row r="138" spans="1:18" ht="15" thickBot="1" x14ac:dyDescent="0.25">
      <c r="A138" s="1">
        <v>81</v>
      </c>
      <c r="B138" s="33" t="s">
        <v>209</v>
      </c>
      <c r="C138" s="33" t="s">
        <v>210</v>
      </c>
      <c r="D138" s="18"/>
      <c r="E138" s="19"/>
      <c r="F138" s="19"/>
      <c r="G138" s="20"/>
      <c r="H138" s="228">
        <v>243346</v>
      </c>
      <c r="I138" s="217">
        <v>339990.1</v>
      </c>
      <c r="J138" s="228">
        <v>254418</v>
      </c>
      <c r="K138" s="217">
        <v>296310</v>
      </c>
      <c r="L138" s="228">
        <v>250000</v>
      </c>
      <c r="M138" s="217">
        <v>204413</v>
      </c>
      <c r="N138" s="772">
        <v>340000</v>
      </c>
      <c r="O138" s="626">
        <v>268689</v>
      </c>
      <c r="P138" s="217">
        <v>340000</v>
      </c>
      <c r="Q138" s="97">
        <v>255674</v>
      </c>
      <c r="R138" s="3">
        <f t="shared" si="15"/>
        <v>81</v>
      </c>
    </row>
    <row r="139" spans="1:18" ht="14.25" customHeight="1" thickBot="1" x14ac:dyDescent="0.25">
      <c r="A139" s="1">
        <v>82</v>
      </c>
      <c r="B139" s="25" t="s">
        <v>211</v>
      </c>
      <c r="C139" s="25" t="s">
        <v>212</v>
      </c>
      <c r="D139" s="26"/>
      <c r="E139" s="27"/>
      <c r="F139" s="27"/>
      <c r="G139" s="28"/>
      <c r="H139" s="214">
        <v>0</v>
      </c>
      <c r="I139" s="211">
        <v>261.68</v>
      </c>
      <c r="J139" s="214"/>
      <c r="K139" s="211"/>
      <c r="L139" s="229">
        <v>0</v>
      </c>
      <c r="M139" s="211"/>
      <c r="N139" s="772"/>
      <c r="O139" s="625">
        <v>42</v>
      </c>
      <c r="P139" s="211"/>
      <c r="Q139" s="230"/>
      <c r="R139" s="3">
        <f t="shared" si="15"/>
        <v>82</v>
      </c>
    </row>
    <row r="140" spans="1:18" ht="14.25" customHeight="1" thickBot="1" x14ac:dyDescent="0.25">
      <c r="A140" s="1">
        <v>83</v>
      </c>
      <c r="B140" s="33" t="s">
        <v>213</v>
      </c>
      <c r="C140" s="33" t="s">
        <v>214</v>
      </c>
      <c r="D140" s="18"/>
      <c r="E140" s="19"/>
      <c r="F140" s="19"/>
      <c r="G140" s="20"/>
      <c r="H140" s="228"/>
      <c r="I140" s="217"/>
      <c r="J140" s="228"/>
      <c r="K140" s="217"/>
      <c r="L140" s="231"/>
      <c r="M140" s="217"/>
      <c r="N140" s="772"/>
      <c r="O140" s="626">
        <v>9435</v>
      </c>
      <c r="P140" s="217">
        <v>15000</v>
      </c>
      <c r="Q140" s="230">
        <v>17000</v>
      </c>
      <c r="R140" s="3">
        <f t="shared" si="15"/>
        <v>83</v>
      </c>
    </row>
    <row r="141" spans="1:18" ht="14.25" customHeight="1" thickBot="1" x14ac:dyDescent="0.25">
      <c r="A141" s="1">
        <v>84</v>
      </c>
      <c r="B141" s="25" t="s">
        <v>215</v>
      </c>
      <c r="C141" s="25" t="s">
        <v>216</v>
      </c>
      <c r="D141" s="26"/>
      <c r="E141" s="27"/>
      <c r="F141" s="27"/>
      <c r="G141" s="28"/>
      <c r="H141" s="214"/>
      <c r="I141" s="211"/>
      <c r="J141" s="214"/>
      <c r="K141" s="211"/>
      <c r="L141" s="229"/>
      <c r="M141" s="211"/>
      <c r="N141" s="772"/>
      <c r="O141" s="625">
        <v>30</v>
      </c>
      <c r="P141" s="211"/>
      <c r="Q141" s="230">
        <v>1000</v>
      </c>
      <c r="R141" s="3">
        <f t="shared" si="15"/>
        <v>84</v>
      </c>
    </row>
    <row r="142" spans="1:18" ht="14.25" customHeight="1" x14ac:dyDescent="0.2">
      <c r="A142" s="1">
        <v>85</v>
      </c>
      <c r="B142" s="33" t="s">
        <v>217</v>
      </c>
      <c r="C142" s="33" t="s">
        <v>218</v>
      </c>
      <c r="D142" s="18"/>
      <c r="E142" s="19"/>
      <c r="F142" s="19"/>
      <c r="G142" s="20"/>
      <c r="H142" s="228"/>
      <c r="I142" s="217"/>
      <c r="J142" s="228"/>
      <c r="K142" s="217"/>
      <c r="L142" s="231"/>
      <c r="M142" s="217"/>
      <c r="N142" s="772"/>
      <c r="O142" s="626">
        <v>0</v>
      </c>
      <c r="P142" s="217"/>
      <c r="Q142" s="232">
        <v>0</v>
      </c>
      <c r="R142" s="3">
        <f t="shared" si="15"/>
        <v>85</v>
      </c>
    </row>
    <row r="143" spans="1:18" ht="15" thickBot="1" x14ac:dyDescent="0.25">
      <c r="A143" s="1">
        <v>86</v>
      </c>
      <c r="B143" s="156" t="s">
        <v>219</v>
      </c>
      <c r="C143" s="156" t="s">
        <v>220</v>
      </c>
      <c r="D143" s="157"/>
      <c r="E143" s="158"/>
      <c r="F143" s="158"/>
      <c r="G143" s="159"/>
      <c r="H143" s="233">
        <v>4000</v>
      </c>
      <c r="I143" s="234">
        <v>405.68</v>
      </c>
      <c r="J143" s="233">
        <v>4000</v>
      </c>
      <c r="K143" s="234">
        <v>325.7</v>
      </c>
      <c r="L143" s="233">
        <v>3000</v>
      </c>
      <c r="M143" s="234">
        <v>555</v>
      </c>
      <c r="N143" s="235">
        <v>2000</v>
      </c>
      <c r="O143" s="628">
        <v>0</v>
      </c>
      <c r="P143" s="234">
        <v>500</v>
      </c>
      <c r="Q143" s="236">
        <v>1000</v>
      </c>
      <c r="R143" s="3">
        <f t="shared" si="15"/>
        <v>86</v>
      </c>
    </row>
    <row r="144" spans="1:18" ht="15" thickTop="1" x14ac:dyDescent="0.2">
      <c r="A144" s="1">
        <v>87</v>
      </c>
      <c r="B144" s="150" t="s">
        <v>221</v>
      </c>
      <c r="C144" s="150" t="s">
        <v>222</v>
      </c>
      <c r="D144" s="151"/>
      <c r="E144" s="152"/>
      <c r="F144" s="152"/>
      <c r="G144" s="153"/>
      <c r="H144" s="221"/>
      <c r="I144" s="222"/>
      <c r="J144" s="221"/>
      <c r="K144" s="222"/>
      <c r="L144" s="221">
        <v>1000</v>
      </c>
      <c r="M144" s="222">
        <v>0</v>
      </c>
      <c r="N144" s="224">
        <v>500</v>
      </c>
      <c r="O144" s="629">
        <v>0</v>
      </c>
      <c r="P144" s="222">
        <v>0</v>
      </c>
      <c r="Q144" s="225">
        <v>1000</v>
      </c>
      <c r="R144" s="3">
        <f t="shared" si="15"/>
        <v>87</v>
      </c>
    </row>
    <row r="145" spans="1:18" x14ac:dyDescent="0.2">
      <c r="A145" s="1">
        <v>88</v>
      </c>
      <c r="B145" s="25" t="s">
        <v>223</v>
      </c>
      <c r="C145" s="25" t="s">
        <v>224</v>
      </c>
      <c r="D145" s="26"/>
      <c r="E145" s="27"/>
      <c r="F145" s="27"/>
      <c r="G145" s="28"/>
      <c r="H145" s="214"/>
      <c r="I145" s="211"/>
      <c r="J145" s="214"/>
      <c r="K145" s="211"/>
      <c r="L145" s="229"/>
      <c r="M145" s="237"/>
      <c r="N145" s="96">
        <v>0</v>
      </c>
      <c r="O145" s="625">
        <v>0</v>
      </c>
      <c r="P145" s="211">
        <v>0</v>
      </c>
      <c r="Q145" s="97">
        <v>0</v>
      </c>
      <c r="R145" s="3">
        <f t="shared" si="15"/>
        <v>88</v>
      </c>
    </row>
    <row r="146" spans="1:18" s="49" customFormat="1" ht="12.75" x14ac:dyDescent="0.2">
      <c r="A146" s="238">
        <v>89</v>
      </c>
      <c r="B146" s="33" t="s">
        <v>225</v>
      </c>
      <c r="C146" s="33" t="s">
        <v>226</v>
      </c>
      <c r="D146" s="18"/>
      <c r="E146" s="19"/>
      <c r="F146" s="19"/>
      <c r="G146" s="20"/>
      <c r="H146" s="228"/>
      <c r="I146" s="217"/>
      <c r="J146" s="228"/>
      <c r="K146" s="217"/>
      <c r="L146" s="231"/>
      <c r="M146" s="217">
        <v>5000</v>
      </c>
      <c r="N146" s="199">
        <v>500</v>
      </c>
      <c r="O146" s="626">
        <v>0</v>
      </c>
      <c r="P146" s="217">
        <v>0</v>
      </c>
      <c r="Q146" s="239">
        <v>0</v>
      </c>
      <c r="R146" s="240">
        <f t="shared" si="15"/>
        <v>89</v>
      </c>
    </row>
    <row r="147" spans="1:18" x14ac:dyDescent="0.2">
      <c r="A147" s="1">
        <v>90</v>
      </c>
      <c r="B147" s="25" t="s">
        <v>227</v>
      </c>
      <c r="C147" s="25" t="s">
        <v>228</v>
      </c>
      <c r="D147" s="26"/>
      <c r="E147" s="27"/>
      <c r="F147" s="27"/>
      <c r="G147" s="28"/>
      <c r="H147" s="214">
        <v>30000</v>
      </c>
      <c r="I147" s="211">
        <v>40476.35</v>
      </c>
      <c r="J147" s="214">
        <v>30000</v>
      </c>
      <c r="K147" s="211">
        <v>63165</v>
      </c>
      <c r="L147" s="229">
        <v>30000</v>
      </c>
      <c r="M147" s="211">
        <v>64031</v>
      </c>
      <c r="N147" s="96">
        <v>30000</v>
      </c>
      <c r="O147" s="625">
        <v>35200</v>
      </c>
      <c r="P147" s="211">
        <v>43000</v>
      </c>
      <c r="Q147" s="97">
        <v>30000</v>
      </c>
      <c r="R147" s="3">
        <f t="shared" si="15"/>
        <v>90</v>
      </c>
    </row>
    <row r="148" spans="1:18" x14ac:dyDescent="0.2">
      <c r="A148" s="1">
        <v>91</v>
      </c>
      <c r="B148" s="33" t="s">
        <v>229</v>
      </c>
      <c r="C148" s="33" t="s">
        <v>230</v>
      </c>
      <c r="D148" s="18"/>
      <c r="E148" s="19"/>
      <c r="F148" s="19"/>
      <c r="G148" s="20"/>
      <c r="H148" s="228"/>
      <c r="I148" s="217"/>
      <c r="J148" s="228"/>
      <c r="K148" s="217"/>
      <c r="L148" s="231"/>
      <c r="M148" s="217"/>
      <c r="N148" s="241">
        <v>0</v>
      </c>
      <c r="O148" s="626">
        <v>13519</v>
      </c>
      <c r="P148" s="217">
        <v>16000</v>
      </c>
      <c r="Q148" s="242">
        <v>0</v>
      </c>
      <c r="R148" s="3">
        <f t="shared" si="15"/>
        <v>91</v>
      </c>
    </row>
    <row r="149" spans="1:18" x14ac:dyDescent="0.2">
      <c r="A149" s="1">
        <v>92</v>
      </c>
      <c r="B149" s="25" t="s">
        <v>231</v>
      </c>
      <c r="C149" s="25" t="s">
        <v>232</v>
      </c>
      <c r="D149" s="26"/>
      <c r="E149" s="27"/>
      <c r="F149" s="27"/>
      <c r="G149" s="28"/>
      <c r="H149" s="214">
        <v>2500</v>
      </c>
      <c r="I149" s="211">
        <v>2957.15</v>
      </c>
      <c r="J149" s="214">
        <v>2500</v>
      </c>
      <c r="K149" s="211">
        <v>2965</v>
      </c>
      <c r="L149" s="214">
        <v>2750</v>
      </c>
      <c r="M149" s="211">
        <v>2925</v>
      </c>
      <c r="N149" s="226">
        <v>3000</v>
      </c>
      <c r="O149" s="625">
        <v>2465</v>
      </c>
      <c r="P149" s="211">
        <v>3000</v>
      </c>
      <c r="Q149" s="227">
        <v>3000</v>
      </c>
      <c r="R149" s="3">
        <f t="shared" si="15"/>
        <v>92</v>
      </c>
    </row>
    <row r="150" spans="1:18" ht="15" thickBot="1" x14ac:dyDescent="0.25">
      <c r="A150" s="1">
        <v>93</v>
      </c>
      <c r="B150" s="33" t="s">
        <v>233</v>
      </c>
      <c r="C150" s="33" t="s">
        <v>234</v>
      </c>
      <c r="D150" s="18"/>
      <c r="E150" s="19"/>
      <c r="F150" s="19"/>
      <c r="G150" s="20"/>
      <c r="H150" s="228">
        <v>200000</v>
      </c>
      <c r="I150" s="217">
        <v>196195.96</v>
      </c>
      <c r="J150" s="228">
        <v>200000</v>
      </c>
      <c r="K150" s="217">
        <v>196563</v>
      </c>
      <c r="L150" s="228">
        <v>175000</v>
      </c>
      <c r="M150" s="217">
        <v>163028</v>
      </c>
      <c r="N150" s="243">
        <v>177000</v>
      </c>
      <c r="O150" s="626">
        <v>122809</v>
      </c>
      <c r="P150" s="217">
        <v>164000</v>
      </c>
      <c r="Q150" s="244">
        <v>170000</v>
      </c>
      <c r="R150" s="3">
        <f t="shared" si="15"/>
        <v>93</v>
      </c>
    </row>
    <row r="151" spans="1:18" ht="15" thickBot="1" x14ac:dyDescent="0.25">
      <c r="B151" s="200"/>
      <c r="C151" s="201" t="s">
        <v>235</v>
      </c>
      <c r="D151" s="202"/>
      <c r="E151" s="203"/>
      <c r="F151" s="203"/>
      <c r="G151" s="204"/>
      <c r="H151" s="45">
        <f t="shared" ref="H151:P151" si="16">SUM(H131:H150)</f>
        <v>682292.51199999999</v>
      </c>
      <c r="I151" s="88">
        <f t="shared" si="16"/>
        <v>769397.84000000008</v>
      </c>
      <c r="J151" s="45">
        <f t="shared" si="16"/>
        <v>691574</v>
      </c>
      <c r="K151" s="88">
        <f t="shared" si="16"/>
        <v>750033.7</v>
      </c>
      <c r="L151" s="45">
        <f t="shared" si="16"/>
        <v>673010</v>
      </c>
      <c r="M151" s="88">
        <f t="shared" si="16"/>
        <v>633718</v>
      </c>
      <c r="N151" s="45">
        <f t="shared" si="16"/>
        <v>753221.25</v>
      </c>
      <c r="O151" s="598">
        <f t="shared" si="16"/>
        <v>597468</v>
      </c>
      <c r="P151" s="88">
        <f t="shared" si="16"/>
        <v>752182</v>
      </c>
      <c r="Q151" s="245">
        <f>SUM(Q131:Q150)</f>
        <v>680569.88</v>
      </c>
    </row>
    <row r="152" spans="1:18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622"/>
      <c r="P152" s="10"/>
      <c r="Q152" s="206"/>
    </row>
    <row r="153" spans="1:18" ht="15" thickBot="1" x14ac:dyDescent="0.25">
      <c r="B153" s="764" t="s">
        <v>236</v>
      </c>
      <c r="C153" s="764"/>
      <c r="D153" s="764"/>
      <c r="E153" s="764"/>
      <c r="F153" s="764"/>
      <c r="G153" s="764"/>
      <c r="H153" s="764"/>
      <c r="I153" s="764"/>
      <c r="J153" s="764"/>
      <c r="K153" s="764"/>
      <c r="L153" s="764"/>
      <c r="M153" s="764"/>
      <c r="N153" s="764"/>
      <c r="O153" s="764"/>
      <c r="P153" s="764"/>
      <c r="Q153" s="764"/>
    </row>
    <row r="154" spans="1:18" ht="16.5" customHeight="1" thickBot="1" x14ac:dyDescent="0.25">
      <c r="B154" s="52"/>
      <c r="C154" s="52"/>
      <c r="D154" s="760">
        <v>2013</v>
      </c>
      <c r="E154" s="760"/>
      <c r="F154" s="765">
        <v>2014</v>
      </c>
      <c r="G154" s="765"/>
      <c r="H154" s="752">
        <v>2015</v>
      </c>
      <c r="I154" s="752"/>
      <c r="J154" s="752">
        <v>2016</v>
      </c>
      <c r="K154" s="752"/>
      <c r="L154" s="752">
        <v>2017</v>
      </c>
      <c r="M154" s="752"/>
      <c r="N154" s="752">
        <f>$N$2</f>
        <v>2018</v>
      </c>
      <c r="O154" s="752"/>
      <c r="P154" s="752"/>
      <c r="Q154" s="761" t="str">
        <f>$Q$2</f>
        <v>2019 Proposed</v>
      </c>
    </row>
    <row r="155" spans="1:18" s="16" customFormat="1" ht="18" customHeight="1" thickBot="1" x14ac:dyDescent="0.25">
      <c r="A155" s="8"/>
      <c r="B155" s="9" t="s">
        <v>2</v>
      </c>
      <c r="C155" s="9" t="s">
        <v>3</v>
      </c>
      <c r="D155" s="10" t="s">
        <v>4</v>
      </c>
      <c r="E155" s="10" t="s">
        <v>5</v>
      </c>
      <c r="F155" s="10" t="s">
        <v>4</v>
      </c>
      <c r="G155" s="10" t="s">
        <v>5</v>
      </c>
      <c r="H155" s="11" t="s">
        <v>6</v>
      </c>
      <c r="I155" s="12" t="s">
        <v>4</v>
      </c>
      <c r="J155" s="11" t="s">
        <v>6</v>
      </c>
      <c r="K155" s="12" t="s">
        <v>4</v>
      </c>
      <c r="L155" s="11" t="s">
        <v>6</v>
      </c>
      <c r="M155" s="12" t="str">
        <f>$M$3</f>
        <v>Actual</v>
      </c>
      <c r="N155" s="11" t="s">
        <v>6</v>
      </c>
      <c r="O155" s="593" t="str">
        <f>$O$3</f>
        <v>As of 10/31</v>
      </c>
      <c r="P155" s="12" t="s">
        <v>8</v>
      </c>
      <c r="Q155" s="761"/>
      <c r="R155" s="3"/>
    </row>
    <row r="156" spans="1:18" ht="15" thickBot="1" x14ac:dyDescent="0.25">
      <c r="A156" s="1">
        <v>94</v>
      </c>
      <c r="B156" s="17" t="s">
        <v>237</v>
      </c>
      <c r="C156" s="17" t="s">
        <v>238</v>
      </c>
      <c r="D156" s="18"/>
      <c r="E156" s="19"/>
      <c r="F156" s="19"/>
      <c r="G156" s="20"/>
      <c r="H156" s="21">
        <v>2200</v>
      </c>
      <c r="I156" s="22">
        <v>1243</v>
      </c>
      <c r="J156" s="21">
        <v>2200</v>
      </c>
      <c r="K156" s="22">
        <v>8486</v>
      </c>
      <c r="L156" s="21">
        <v>5000</v>
      </c>
      <c r="M156" s="22">
        <v>14317</v>
      </c>
      <c r="N156" s="196">
        <v>5000</v>
      </c>
      <c r="O156" s="630">
        <v>2902</v>
      </c>
      <c r="P156" s="22">
        <v>2902</v>
      </c>
      <c r="Q156" s="588">
        <v>4124</v>
      </c>
      <c r="R156" s="3">
        <f>A156</f>
        <v>94</v>
      </c>
    </row>
    <row r="157" spans="1:18" ht="15" thickBot="1" x14ac:dyDescent="0.25">
      <c r="A157" s="1">
        <v>95</v>
      </c>
      <c r="B157" s="25" t="s">
        <v>239</v>
      </c>
      <c r="C157" s="25" t="s">
        <v>240</v>
      </c>
      <c r="D157" s="26"/>
      <c r="E157" s="27"/>
      <c r="F157" s="27"/>
      <c r="G157" s="28"/>
      <c r="H157" s="29">
        <v>0</v>
      </c>
      <c r="I157" s="30">
        <v>172</v>
      </c>
      <c r="J157" s="29"/>
      <c r="K157" s="30">
        <v>172</v>
      </c>
      <c r="L157" s="29">
        <v>1000</v>
      </c>
      <c r="M157" s="30">
        <v>172</v>
      </c>
      <c r="N157" s="96">
        <v>0</v>
      </c>
      <c r="O157" s="595">
        <v>156</v>
      </c>
      <c r="P157" s="72">
        <v>156</v>
      </c>
      <c r="Q157" s="230">
        <v>0</v>
      </c>
      <c r="R157" s="3">
        <f>A157</f>
        <v>95</v>
      </c>
    </row>
    <row r="158" spans="1:18" hidden="1" x14ac:dyDescent="0.2">
      <c r="B158" s="25" t="s">
        <v>241</v>
      </c>
      <c r="C158" s="25" t="s">
        <v>242</v>
      </c>
      <c r="D158" s="26"/>
      <c r="E158" s="27"/>
      <c r="F158" s="27"/>
      <c r="G158" s="28"/>
      <c r="H158" s="29">
        <v>1000</v>
      </c>
      <c r="I158" s="30">
        <v>1045</v>
      </c>
      <c r="J158" s="29"/>
      <c r="K158" s="30">
        <v>1396</v>
      </c>
      <c r="L158" s="246">
        <v>0</v>
      </c>
      <c r="M158" s="30">
        <v>2800</v>
      </c>
      <c r="N158" s="96">
        <v>0</v>
      </c>
      <c r="O158" s="595"/>
      <c r="P158" s="30"/>
      <c r="Q158" s="179"/>
      <c r="R158" s="3">
        <f>A158</f>
        <v>0</v>
      </c>
    </row>
    <row r="159" spans="1:18" ht="15" thickBot="1" x14ac:dyDescent="0.25">
      <c r="A159" s="1">
        <v>96</v>
      </c>
      <c r="B159" s="247" t="s">
        <v>243</v>
      </c>
      <c r="C159" s="247" t="s">
        <v>244</v>
      </c>
      <c r="D159" s="18"/>
      <c r="E159" s="19"/>
      <c r="F159" s="19"/>
      <c r="G159" s="20"/>
      <c r="H159" s="84">
        <v>1000</v>
      </c>
      <c r="I159" s="248">
        <v>2333.7399999999998</v>
      </c>
      <c r="J159" s="84">
        <v>2000</v>
      </c>
      <c r="K159" s="248">
        <v>1543</v>
      </c>
      <c r="L159" s="84">
        <v>1000</v>
      </c>
      <c r="M159" s="248">
        <v>1210</v>
      </c>
      <c r="N159" s="243">
        <v>1000</v>
      </c>
      <c r="O159" s="631">
        <v>952</v>
      </c>
      <c r="P159" s="248">
        <v>1000</v>
      </c>
      <c r="Q159" s="244">
        <v>1000</v>
      </c>
      <c r="R159" s="3">
        <f>A159</f>
        <v>96</v>
      </c>
    </row>
    <row r="160" spans="1:18" ht="15" thickBot="1" x14ac:dyDescent="0.25">
      <c r="B160" s="200"/>
      <c r="C160" s="201" t="s">
        <v>245</v>
      </c>
      <c r="D160" s="202"/>
      <c r="E160" s="203"/>
      <c r="F160" s="203"/>
      <c r="G160" s="204"/>
      <c r="H160" s="45">
        <f t="shared" ref="H160:Q160" si="17">SUM(H156:H159)</f>
        <v>4200</v>
      </c>
      <c r="I160" s="88">
        <f t="shared" si="17"/>
        <v>4793.74</v>
      </c>
      <c r="J160" s="45">
        <f t="shared" si="17"/>
        <v>4200</v>
      </c>
      <c r="K160" s="88">
        <f t="shared" si="17"/>
        <v>11597</v>
      </c>
      <c r="L160" s="45">
        <f t="shared" si="17"/>
        <v>7000</v>
      </c>
      <c r="M160" s="88">
        <f t="shared" si="17"/>
        <v>18499</v>
      </c>
      <c r="N160" s="45">
        <f t="shared" si="17"/>
        <v>6000</v>
      </c>
      <c r="O160" s="598">
        <f t="shared" si="17"/>
        <v>4010</v>
      </c>
      <c r="P160" s="88">
        <f t="shared" si="17"/>
        <v>4058</v>
      </c>
      <c r="Q160" s="48">
        <f t="shared" si="17"/>
        <v>5124</v>
      </c>
      <c r="R160" s="3">
        <f>A160</f>
        <v>0</v>
      </c>
    </row>
    <row r="161" spans="1:18" ht="16.5" customHeigh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622"/>
      <c r="P161" s="10"/>
      <c r="Q161" s="206"/>
    </row>
    <row r="162" spans="1:18" ht="15" thickBot="1" x14ac:dyDescent="0.25">
      <c r="B162" s="764" t="s">
        <v>246</v>
      </c>
      <c r="C162" s="764"/>
      <c r="D162" s="764"/>
      <c r="E162" s="764"/>
      <c r="F162" s="764"/>
      <c r="G162" s="764"/>
      <c r="H162" s="764"/>
      <c r="I162" s="764"/>
      <c r="J162" s="764"/>
      <c r="K162" s="764"/>
      <c r="L162" s="764"/>
      <c r="M162" s="764"/>
      <c r="N162" s="764"/>
      <c r="O162" s="764"/>
      <c r="P162" s="764"/>
      <c r="Q162" s="764"/>
    </row>
    <row r="163" spans="1:18" ht="15" thickBot="1" x14ac:dyDescent="0.25">
      <c r="B163" s="52"/>
      <c r="C163" s="52"/>
      <c r="D163" s="760">
        <v>2013</v>
      </c>
      <c r="E163" s="760"/>
      <c r="F163" s="765">
        <v>2014</v>
      </c>
      <c r="G163" s="765"/>
      <c r="H163" s="752">
        <v>2015</v>
      </c>
      <c r="I163" s="752"/>
      <c r="J163" s="752">
        <v>2016</v>
      </c>
      <c r="K163" s="752"/>
      <c r="L163" s="752">
        <v>2017</v>
      </c>
      <c r="M163" s="752"/>
      <c r="N163" s="752">
        <f>$N$2</f>
        <v>2018</v>
      </c>
      <c r="O163" s="752"/>
      <c r="P163" s="752"/>
      <c r="Q163" s="761" t="str">
        <f>$Q$2</f>
        <v>2019 Proposed</v>
      </c>
    </row>
    <row r="164" spans="1:18" s="16" customFormat="1" ht="13.5" customHeight="1" thickBot="1" x14ac:dyDescent="0.25">
      <c r="A164" s="8"/>
      <c r="B164" s="9" t="s">
        <v>2</v>
      </c>
      <c r="C164" s="9" t="s">
        <v>3</v>
      </c>
      <c r="D164" s="10" t="s">
        <v>4</v>
      </c>
      <c r="E164" s="10" t="s">
        <v>5</v>
      </c>
      <c r="F164" s="10" t="s">
        <v>4</v>
      </c>
      <c r="G164" s="10" t="s">
        <v>5</v>
      </c>
      <c r="H164" s="11" t="s">
        <v>6</v>
      </c>
      <c r="I164" s="12" t="s">
        <v>4</v>
      </c>
      <c r="J164" s="11" t="s">
        <v>6</v>
      </c>
      <c r="K164" s="12" t="s">
        <v>4</v>
      </c>
      <c r="L164" s="11" t="s">
        <v>6</v>
      </c>
      <c r="M164" s="12" t="str">
        <f>$M$3</f>
        <v>Actual</v>
      </c>
      <c r="N164" s="11" t="s">
        <v>6</v>
      </c>
      <c r="O164" s="593" t="str">
        <f>$O$3</f>
        <v>As of 10/31</v>
      </c>
      <c r="P164" s="12" t="s">
        <v>8</v>
      </c>
      <c r="Q164" s="761"/>
      <c r="R164" s="3"/>
    </row>
    <row r="165" spans="1:18" x14ac:dyDescent="0.2">
      <c r="A165" s="1">
        <v>97</v>
      </c>
      <c r="B165" s="17" t="s">
        <v>247</v>
      </c>
      <c r="C165" s="17" t="s">
        <v>248</v>
      </c>
      <c r="D165" s="18"/>
      <c r="E165" s="19"/>
      <c r="F165" s="19"/>
      <c r="G165" s="20"/>
      <c r="H165" s="21">
        <v>3000</v>
      </c>
      <c r="I165" s="22">
        <v>2335</v>
      </c>
      <c r="J165" s="21">
        <v>3050</v>
      </c>
      <c r="K165" s="22">
        <v>2190</v>
      </c>
      <c r="L165" s="21">
        <v>2500</v>
      </c>
      <c r="M165" s="22">
        <v>1810</v>
      </c>
      <c r="N165" s="196">
        <v>2500</v>
      </c>
      <c r="O165" s="630">
        <v>40</v>
      </c>
      <c r="P165" s="22">
        <v>2500</v>
      </c>
      <c r="Q165" s="197">
        <v>4200</v>
      </c>
      <c r="R165" s="3">
        <f t="shared" ref="R165:R174" si="18">A165</f>
        <v>97</v>
      </c>
    </row>
    <row r="166" spans="1:18" x14ac:dyDescent="0.2">
      <c r="A166" s="1">
        <v>98</v>
      </c>
      <c r="B166" s="25" t="s">
        <v>249</v>
      </c>
      <c r="C166" s="25" t="s">
        <v>250</v>
      </c>
      <c r="D166" s="26"/>
      <c r="E166" s="27"/>
      <c r="F166" s="27"/>
      <c r="G166" s="28"/>
      <c r="H166" s="29">
        <v>240</v>
      </c>
      <c r="I166" s="249">
        <v>178.63</v>
      </c>
      <c r="J166" s="29">
        <v>250</v>
      </c>
      <c r="K166" s="30">
        <v>167</v>
      </c>
      <c r="L166" s="29">
        <v>250</v>
      </c>
      <c r="M166" s="30">
        <v>138</v>
      </c>
      <c r="N166" s="96">
        <v>250</v>
      </c>
      <c r="O166" s="595"/>
      <c r="P166" s="30">
        <v>250</v>
      </c>
      <c r="Q166" s="97">
        <f>Q165*0.0765</f>
        <v>321.3</v>
      </c>
      <c r="R166" s="3">
        <f t="shared" si="18"/>
        <v>98</v>
      </c>
    </row>
    <row r="167" spans="1:18" x14ac:dyDescent="0.2">
      <c r="A167" s="1">
        <v>99</v>
      </c>
      <c r="B167" s="33" t="s">
        <v>251</v>
      </c>
      <c r="C167" s="33" t="s">
        <v>252</v>
      </c>
      <c r="D167" s="18"/>
      <c r="E167" s="19"/>
      <c r="F167" s="19"/>
      <c r="G167" s="20"/>
      <c r="H167" s="34">
        <v>15000</v>
      </c>
      <c r="I167" s="35">
        <v>12785.25</v>
      </c>
      <c r="J167" s="34">
        <v>15000</v>
      </c>
      <c r="K167" s="35">
        <v>3837</v>
      </c>
      <c r="L167" s="34">
        <v>15000</v>
      </c>
      <c r="M167" s="35">
        <v>4231</v>
      </c>
      <c r="N167" s="199">
        <v>15000</v>
      </c>
      <c r="O167" s="596">
        <v>1127</v>
      </c>
      <c r="P167" s="35">
        <v>10000</v>
      </c>
      <c r="Q167" s="239">
        <v>10000</v>
      </c>
      <c r="R167" s="3">
        <f t="shared" si="18"/>
        <v>99</v>
      </c>
    </row>
    <row r="168" spans="1:18" x14ac:dyDescent="0.2">
      <c r="A168" s="1">
        <v>100</v>
      </c>
      <c r="B168" s="25" t="s">
        <v>253</v>
      </c>
      <c r="C168" s="25" t="s">
        <v>254</v>
      </c>
      <c r="D168" s="26"/>
      <c r="E168" s="27"/>
      <c r="F168" s="27"/>
      <c r="G168" s="28"/>
      <c r="H168" s="29">
        <v>0</v>
      </c>
      <c r="I168" s="30">
        <v>125.36</v>
      </c>
      <c r="J168" s="29">
        <v>0</v>
      </c>
      <c r="K168" s="30">
        <v>543</v>
      </c>
      <c r="L168" s="29"/>
      <c r="M168" s="30">
        <v>202</v>
      </c>
      <c r="N168" s="96"/>
      <c r="O168" s="595">
        <v>234</v>
      </c>
      <c r="P168" s="30">
        <v>250</v>
      </c>
      <c r="Q168" s="97">
        <v>500</v>
      </c>
      <c r="R168" s="3">
        <f t="shared" si="18"/>
        <v>100</v>
      </c>
    </row>
    <row r="169" spans="1:18" x14ac:dyDescent="0.2">
      <c r="A169" s="1">
        <v>101</v>
      </c>
      <c r="B169" s="250" t="s">
        <v>255</v>
      </c>
      <c r="C169" s="33" t="s">
        <v>256</v>
      </c>
      <c r="D169" s="18"/>
      <c r="E169" s="19"/>
      <c r="F169" s="19"/>
      <c r="G169" s="20"/>
      <c r="H169" s="34"/>
      <c r="I169" s="35"/>
      <c r="J169" s="34"/>
      <c r="K169" s="35"/>
      <c r="L169" s="99"/>
      <c r="M169" s="35"/>
      <c r="N169" s="199">
        <v>0</v>
      </c>
      <c r="O169" s="601">
        <v>13691</v>
      </c>
      <c r="P169" s="35">
        <v>13691</v>
      </c>
      <c r="Q169" s="239">
        <v>10200</v>
      </c>
      <c r="R169" s="3">
        <f t="shared" si="18"/>
        <v>101</v>
      </c>
    </row>
    <row r="170" spans="1:18" x14ac:dyDescent="0.2">
      <c r="A170" s="1">
        <v>102</v>
      </c>
      <c r="B170" s="251" t="s">
        <v>257</v>
      </c>
      <c r="C170" s="25" t="s">
        <v>258</v>
      </c>
      <c r="D170" s="26"/>
      <c r="E170" s="27"/>
      <c r="F170" s="27"/>
      <c r="G170" s="28"/>
      <c r="H170" s="29"/>
      <c r="I170" s="30"/>
      <c r="J170" s="29"/>
      <c r="K170" s="30"/>
      <c r="L170" s="98"/>
      <c r="M170" s="30"/>
      <c r="N170" s="178">
        <v>1000</v>
      </c>
      <c r="O170" s="595">
        <v>3014</v>
      </c>
      <c r="P170" s="30">
        <v>3014</v>
      </c>
      <c r="Q170" s="179">
        <v>4000</v>
      </c>
      <c r="R170" s="3">
        <f t="shared" si="18"/>
        <v>102</v>
      </c>
    </row>
    <row r="171" spans="1:18" x14ac:dyDescent="0.2">
      <c r="A171" s="1">
        <v>103</v>
      </c>
      <c r="B171" s="250" t="s">
        <v>259</v>
      </c>
      <c r="C171" s="33" t="s">
        <v>260</v>
      </c>
      <c r="D171" s="18"/>
      <c r="E171" s="19"/>
      <c r="F171" s="19"/>
      <c r="G171" s="20"/>
      <c r="H171" s="34"/>
      <c r="I171" s="35"/>
      <c r="J171" s="34"/>
      <c r="K171" s="35"/>
      <c r="L171" s="99"/>
      <c r="M171" s="35"/>
      <c r="N171" s="199">
        <v>1000</v>
      </c>
      <c r="O171" s="601">
        <v>90</v>
      </c>
      <c r="P171" s="35">
        <v>1000</v>
      </c>
      <c r="Q171" s="239">
        <v>0</v>
      </c>
      <c r="R171" s="3">
        <f t="shared" si="18"/>
        <v>103</v>
      </c>
    </row>
    <row r="172" spans="1:18" x14ac:dyDescent="0.2">
      <c r="A172" s="1">
        <v>104</v>
      </c>
      <c r="B172" s="251" t="s">
        <v>261</v>
      </c>
      <c r="C172" s="25" t="s">
        <v>262</v>
      </c>
      <c r="D172" s="26"/>
      <c r="E172" s="27"/>
      <c r="F172" s="27"/>
      <c r="G172" s="28"/>
      <c r="H172" s="29"/>
      <c r="I172" s="30"/>
      <c r="J172" s="29"/>
      <c r="K172" s="30"/>
      <c r="L172" s="29"/>
      <c r="M172" s="58"/>
      <c r="N172" s="252">
        <v>0</v>
      </c>
      <c r="O172" s="595">
        <v>4248</v>
      </c>
      <c r="P172" s="30">
        <v>4248</v>
      </c>
      <c r="Q172" s="253">
        <v>0</v>
      </c>
      <c r="R172" s="3">
        <f t="shared" si="18"/>
        <v>104</v>
      </c>
    </row>
    <row r="173" spans="1:18" x14ac:dyDescent="0.2">
      <c r="A173" s="1">
        <v>105</v>
      </c>
      <c r="B173" s="254" t="s">
        <v>263</v>
      </c>
      <c r="C173" s="255" t="s">
        <v>264</v>
      </c>
      <c r="D173" s="18"/>
      <c r="E173" s="19"/>
      <c r="F173" s="19"/>
      <c r="G173" s="20"/>
      <c r="H173" s="256"/>
      <c r="I173" s="257"/>
      <c r="J173" s="256"/>
      <c r="K173" s="257"/>
      <c r="L173" s="256"/>
      <c r="M173" s="258"/>
      <c r="N173" s="259">
        <v>5000</v>
      </c>
      <c r="O173" s="632">
        <v>4195</v>
      </c>
      <c r="P173" s="257">
        <v>5000</v>
      </c>
      <c r="Q173" s="260">
        <v>2000</v>
      </c>
      <c r="R173" s="3">
        <f t="shared" si="18"/>
        <v>105</v>
      </c>
    </row>
    <row r="174" spans="1:18" ht="15" thickBot="1" x14ac:dyDescent="0.25">
      <c r="A174" s="1">
        <v>106</v>
      </c>
      <c r="B174" s="37" t="s">
        <v>265</v>
      </c>
      <c r="C174" s="37" t="s">
        <v>266</v>
      </c>
      <c r="D174" s="26"/>
      <c r="E174" s="27"/>
      <c r="F174" s="27"/>
      <c r="G174" s="28"/>
      <c r="H174" s="62">
        <v>0</v>
      </c>
      <c r="I174" s="63">
        <v>0</v>
      </c>
      <c r="J174" s="62">
        <v>0</v>
      </c>
      <c r="K174" s="63"/>
      <c r="L174" s="261"/>
      <c r="M174" s="63">
        <v>0</v>
      </c>
      <c r="N174" s="62">
        <v>0</v>
      </c>
      <c r="O174" s="633"/>
      <c r="P174" s="63">
        <v>0</v>
      </c>
      <c r="Q174" s="262">
        <v>0</v>
      </c>
      <c r="R174" s="3">
        <f t="shared" si="18"/>
        <v>106</v>
      </c>
    </row>
    <row r="175" spans="1:18" ht="15" thickBot="1" x14ac:dyDescent="0.25">
      <c r="B175" s="757" t="s">
        <v>267</v>
      </c>
      <c r="C175" s="757"/>
      <c r="D175" s="202"/>
      <c r="E175" s="203"/>
      <c r="F175" s="203"/>
      <c r="G175" s="204"/>
      <c r="H175" s="45">
        <f t="shared" ref="H175:Q175" si="19">SUM(H165:H174)</f>
        <v>18240</v>
      </c>
      <c r="I175" s="88">
        <f t="shared" si="19"/>
        <v>15424.240000000002</v>
      </c>
      <c r="J175" s="45">
        <f t="shared" si="19"/>
        <v>18300</v>
      </c>
      <c r="K175" s="88">
        <f t="shared" si="19"/>
        <v>6737</v>
      </c>
      <c r="L175" s="45">
        <f t="shared" si="19"/>
        <v>17750</v>
      </c>
      <c r="M175" s="88">
        <f t="shared" si="19"/>
        <v>6381</v>
      </c>
      <c r="N175" s="45">
        <f t="shared" si="19"/>
        <v>24750</v>
      </c>
      <c r="O175" s="598">
        <f t="shared" si="19"/>
        <v>26639</v>
      </c>
      <c r="P175" s="88">
        <f t="shared" si="19"/>
        <v>39953</v>
      </c>
      <c r="Q175" s="48">
        <f t="shared" si="19"/>
        <v>31221.3</v>
      </c>
    </row>
    <row r="176" spans="1:18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622"/>
      <c r="P176" s="10"/>
      <c r="Q176" s="206"/>
    </row>
    <row r="177" spans="1:18" ht="15" thickBot="1" x14ac:dyDescent="0.25">
      <c r="B177" s="764" t="s">
        <v>268</v>
      </c>
      <c r="C177" s="764"/>
      <c r="D177" s="764"/>
      <c r="E177" s="764"/>
      <c r="F177" s="764"/>
      <c r="G177" s="764"/>
      <c r="H177" s="764"/>
      <c r="I177" s="764"/>
      <c r="J177" s="764"/>
      <c r="K177" s="764"/>
      <c r="L177" s="764"/>
      <c r="M177" s="764"/>
      <c r="N177" s="764"/>
      <c r="O177" s="764"/>
      <c r="P177" s="764"/>
      <c r="Q177" s="764"/>
    </row>
    <row r="178" spans="1:18" ht="15" thickBot="1" x14ac:dyDescent="0.25">
      <c r="B178" s="52"/>
      <c r="C178" s="52"/>
      <c r="D178" s="760">
        <v>2013</v>
      </c>
      <c r="E178" s="760"/>
      <c r="F178" s="765">
        <v>2014</v>
      </c>
      <c r="G178" s="765"/>
      <c r="H178" s="752">
        <v>2015</v>
      </c>
      <c r="I178" s="752"/>
      <c r="J178" s="752">
        <v>2016</v>
      </c>
      <c r="K178" s="752"/>
      <c r="L178" s="752">
        <v>2017</v>
      </c>
      <c r="M178" s="752"/>
      <c r="N178" s="752">
        <f>$N$2</f>
        <v>2018</v>
      </c>
      <c r="O178" s="752"/>
      <c r="P178" s="752"/>
      <c r="Q178" s="761" t="str">
        <f>$Q$2</f>
        <v>2019 Proposed</v>
      </c>
    </row>
    <row r="179" spans="1:18" s="16" customFormat="1" ht="13.5" customHeight="1" thickBot="1" x14ac:dyDescent="0.25">
      <c r="A179" s="8"/>
      <c r="B179" s="9" t="s">
        <v>2</v>
      </c>
      <c r="C179" s="9" t="s">
        <v>3</v>
      </c>
      <c r="D179" s="10" t="s">
        <v>4</v>
      </c>
      <c r="E179" s="10" t="s">
        <v>5</v>
      </c>
      <c r="F179" s="10" t="s">
        <v>4</v>
      </c>
      <c r="G179" s="10" t="s">
        <v>5</v>
      </c>
      <c r="H179" s="11" t="s">
        <v>6</v>
      </c>
      <c r="I179" s="12" t="s">
        <v>4</v>
      </c>
      <c r="J179" s="11" t="s">
        <v>6</v>
      </c>
      <c r="K179" s="12" t="s">
        <v>4</v>
      </c>
      <c r="L179" s="11" t="s">
        <v>6</v>
      </c>
      <c r="M179" s="12" t="str">
        <f>$M$3</f>
        <v>Actual</v>
      </c>
      <c r="N179" s="11" t="s">
        <v>6</v>
      </c>
      <c r="O179" s="593" t="str">
        <f>$O$3</f>
        <v>As of 10/31</v>
      </c>
      <c r="P179" s="12" t="s">
        <v>8</v>
      </c>
      <c r="Q179" s="761"/>
      <c r="R179" s="3"/>
    </row>
    <row r="180" spans="1:18" x14ac:dyDescent="0.2">
      <c r="A180" s="1">
        <v>107</v>
      </c>
      <c r="B180" s="17" t="s">
        <v>269</v>
      </c>
      <c r="C180" s="17" t="s">
        <v>270</v>
      </c>
      <c r="D180" s="18"/>
      <c r="E180" s="19"/>
      <c r="F180" s="19"/>
      <c r="G180" s="20"/>
      <c r="H180" s="21">
        <v>72500</v>
      </c>
      <c r="I180" s="22">
        <v>70902.039999999994</v>
      </c>
      <c r="J180" s="21">
        <v>5000</v>
      </c>
      <c r="K180" s="22">
        <v>3585</v>
      </c>
      <c r="L180" s="21">
        <v>5000</v>
      </c>
      <c r="M180" s="22">
        <v>7000</v>
      </c>
      <c r="N180" s="196">
        <v>9000</v>
      </c>
      <c r="O180" s="630">
        <v>7000</v>
      </c>
      <c r="P180" s="22">
        <v>9000</v>
      </c>
      <c r="Q180" s="197">
        <v>2500</v>
      </c>
      <c r="R180" s="3">
        <f>A180</f>
        <v>107</v>
      </c>
    </row>
    <row r="181" spans="1:18" x14ac:dyDescent="0.2">
      <c r="A181" s="1">
        <v>108</v>
      </c>
      <c r="B181" s="251" t="s">
        <v>271</v>
      </c>
      <c r="C181" s="25" t="s">
        <v>272</v>
      </c>
      <c r="D181" s="26"/>
      <c r="E181" s="27"/>
      <c r="F181" s="27"/>
      <c r="G181" s="28"/>
      <c r="H181" s="29"/>
      <c r="I181" s="30"/>
      <c r="J181" s="29"/>
      <c r="K181" s="30"/>
      <c r="L181" s="98"/>
      <c r="M181" s="58">
        <v>0</v>
      </c>
      <c r="N181" s="96">
        <v>12900</v>
      </c>
      <c r="O181" s="595">
        <v>13534</v>
      </c>
      <c r="P181" s="30">
        <v>13534</v>
      </c>
      <c r="Q181" s="97">
        <v>0</v>
      </c>
      <c r="R181" s="3">
        <f>A181</f>
        <v>108</v>
      </c>
    </row>
    <row r="182" spans="1:18" x14ac:dyDescent="0.2">
      <c r="A182" s="1">
        <v>109</v>
      </c>
      <c r="B182" s="580" t="s">
        <v>275</v>
      </c>
      <c r="C182" s="580" t="s">
        <v>276</v>
      </c>
      <c r="D182" s="581"/>
      <c r="E182" s="582"/>
      <c r="F182" s="582"/>
      <c r="G182" s="583"/>
      <c r="H182" s="584">
        <v>5500</v>
      </c>
      <c r="I182" s="585">
        <v>20284.419999999998</v>
      </c>
      <c r="J182" s="584">
        <v>6900</v>
      </c>
      <c r="K182" s="585">
        <v>7580</v>
      </c>
      <c r="L182" s="584">
        <v>0</v>
      </c>
      <c r="M182" s="585">
        <v>199835</v>
      </c>
      <c r="N182" s="640">
        <v>47460</v>
      </c>
      <c r="O182" s="641">
        <v>46036</v>
      </c>
      <c r="P182" s="585">
        <v>47460</v>
      </c>
      <c r="Q182" s="642">
        <v>0</v>
      </c>
      <c r="R182" s="3">
        <f>A182</f>
        <v>109</v>
      </c>
    </row>
    <row r="183" spans="1:18" ht="15" thickBot="1" x14ac:dyDescent="0.25">
      <c r="A183" s="1">
        <v>110</v>
      </c>
      <c r="B183" s="644" t="s">
        <v>277</v>
      </c>
      <c r="C183" s="60" t="s">
        <v>278</v>
      </c>
      <c r="D183" s="26"/>
      <c r="E183" s="27"/>
      <c r="F183" s="27"/>
      <c r="G183" s="28"/>
      <c r="H183" s="62">
        <v>6049</v>
      </c>
      <c r="I183" s="63">
        <v>3008</v>
      </c>
      <c r="J183" s="646">
        <v>6000</v>
      </c>
      <c r="K183" s="647">
        <v>7286.87</v>
      </c>
      <c r="L183" s="38">
        <v>7000</v>
      </c>
      <c r="M183" s="39">
        <v>14473</v>
      </c>
      <c r="N183" s="650">
        <v>6484</v>
      </c>
      <c r="O183" s="651">
        <v>7159</v>
      </c>
      <c r="P183" s="647">
        <v>7159</v>
      </c>
      <c r="Q183" s="652">
        <v>7200</v>
      </c>
      <c r="R183" s="3">
        <f>A183</f>
        <v>110</v>
      </c>
    </row>
    <row r="184" spans="1:18" ht="15" thickBot="1" x14ac:dyDescent="0.25">
      <c r="A184" s="1">
        <v>111</v>
      </c>
      <c r="B184" s="643" t="s">
        <v>273</v>
      </c>
      <c r="C184" s="645" t="s">
        <v>274</v>
      </c>
      <c r="D184" s="18"/>
      <c r="E184" s="19"/>
      <c r="F184" s="19"/>
      <c r="G184" s="20"/>
      <c r="H184" s="34"/>
      <c r="I184" s="35"/>
      <c r="J184" s="154"/>
      <c r="K184" s="155"/>
      <c r="L184" s="648"/>
      <c r="M184" s="649">
        <v>0</v>
      </c>
      <c r="N184" s="224">
        <v>4193</v>
      </c>
      <c r="O184" s="615">
        <v>4193</v>
      </c>
      <c r="P184" s="155">
        <v>4193</v>
      </c>
      <c r="Q184" s="225">
        <v>19500</v>
      </c>
      <c r="R184" s="3">
        <f>A184</f>
        <v>111</v>
      </c>
    </row>
    <row r="185" spans="1:18" ht="15" thickBot="1" x14ac:dyDescent="0.25">
      <c r="B185" s="200"/>
      <c r="C185" s="201" t="s">
        <v>279</v>
      </c>
      <c r="D185" s="202"/>
      <c r="E185" s="203"/>
      <c r="F185" s="203"/>
      <c r="G185" s="204"/>
      <c r="H185" s="45">
        <f t="shared" ref="H185:Q185" si="20">SUM(H180:H184)</f>
        <v>84049</v>
      </c>
      <c r="I185" s="88">
        <f t="shared" si="20"/>
        <v>94194.459999999992</v>
      </c>
      <c r="J185" s="45">
        <f t="shared" si="20"/>
        <v>17900</v>
      </c>
      <c r="K185" s="88">
        <f t="shared" si="20"/>
        <v>18451.87</v>
      </c>
      <c r="L185" s="45">
        <f t="shared" si="20"/>
        <v>12000</v>
      </c>
      <c r="M185" s="88">
        <f t="shared" si="20"/>
        <v>221308</v>
      </c>
      <c r="N185" s="45">
        <f t="shared" si="20"/>
        <v>80037</v>
      </c>
      <c r="O185" s="598">
        <f t="shared" si="20"/>
        <v>77922</v>
      </c>
      <c r="P185" s="88">
        <f t="shared" si="20"/>
        <v>81346</v>
      </c>
      <c r="Q185" s="48">
        <f t="shared" si="20"/>
        <v>29200</v>
      </c>
    </row>
    <row r="186" spans="1:18" x14ac:dyDescent="0.2">
      <c r="B186" s="10"/>
      <c r="C186" s="44"/>
      <c r="D186" s="44"/>
      <c r="E186" s="44"/>
      <c r="F186" s="44"/>
      <c r="G186" s="44"/>
      <c r="H186" s="263"/>
      <c r="I186" s="263"/>
      <c r="J186" s="263"/>
      <c r="K186" s="263"/>
      <c r="L186" s="10"/>
      <c r="M186" s="263"/>
      <c r="N186" s="10"/>
      <c r="O186" s="622"/>
      <c r="P186" s="263"/>
      <c r="Q186" s="206"/>
    </row>
    <row r="187" spans="1:18" ht="15" thickBot="1" x14ac:dyDescent="0.25">
      <c r="B187" s="764" t="s">
        <v>280</v>
      </c>
      <c r="C187" s="764"/>
      <c r="D187" s="764"/>
      <c r="E187" s="764"/>
      <c r="F187" s="764"/>
      <c r="G187" s="764"/>
      <c r="H187" s="764"/>
      <c r="I187" s="764"/>
      <c r="J187" s="764"/>
      <c r="K187" s="764"/>
      <c r="L187" s="764"/>
      <c r="M187" s="764"/>
      <c r="N187" s="764"/>
      <c r="O187" s="764"/>
      <c r="P187" s="764"/>
      <c r="Q187" s="764"/>
    </row>
    <row r="188" spans="1:18" ht="14.25" customHeight="1" thickBot="1" x14ac:dyDescent="0.25">
      <c r="B188" s="52"/>
      <c r="C188" s="52"/>
      <c r="D188" s="760">
        <v>2013</v>
      </c>
      <c r="E188" s="760"/>
      <c r="F188" s="765">
        <v>2014</v>
      </c>
      <c r="G188" s="765"/>
      <c r="H188" s="752">
        <v>2015</v>
      </c>
      <c r="I188" s="752"/>
      <c r="J188" s="752">
        <v>2016</v>
      </c>
      <c r="K188" s="752"/>
      <c r="L188" s="752">
        <v>2017</v>
      </c>
      <c r="M188" s="752"/>
      <c r="N188" s="752">
        <f>$N$2</f>
        <v>2018</v>
      </c>
      <c r="O188" s="752"/>
      <c r="P188" s="752"/>
      <c r="Q188" s="761" t="str">
        <f>$Q$2</f>
        <v>2019 Proposed</v>
      </c>
    </row>
    <row r="189" spans="1:18" s="16" customFormat="1" ht="13.5" customHeight="1" thickBot="1" x14ac:dyDescent="0.25">
      <c r="A189" s="8"/>
      <c r="B189" s="9" t="s">
        <v>2</v>
      </c>
      <c r="C189" s="9" t="s">
        <v>3</v>
      </c>
      <c r="D189" s="10" t="s">
        <v>4</v>
      </c>
      <c r="E189" s="10" t="s">
        <v>5</v>
      </c>
      <c r="F189" s="10" t="s">
        <v>4</v>
      </c>
      <c r="G189" s="10" t="s">
        <v>5</v>
      </c>
      <c r="H189" s="11" t="s">
        <v>6</v>
      </c>
      <c r="I189" s="12" t="s">
        <v>4</v>
      </c>
      <c r="J189" s="11" t="s">
        <v>6</v>
      </c>
      <c r="K189" s="12" t="s">
        <v>4</v>
      </c>
      <c r="L189" s="11" t="s">
        <v>6</v>
      </c>
      <c r="M189" s="12" t="str">
        <f>$M$3</f>
        <v>Actual</v>
      </c>
      <c r="N189" s="11" t="s">
        <v>6</v>
      </c>
      <c r="O189" s="593" t="str">
        <f>$O$3</f>
        <v>As of 10/31</v>
      </c>
      <c r="P189" s="12" t="s">
        <v>8</v>
      </c>
      <c r="Q189" s="761"/>
      <c r="R189" s="3"/>
    </row>
    <row r="190" spans="1:18" x14ac:dyDescent="0.2">
      <c r="A190" s="1">
        <v>112</v>
      </c>
      <c r="B190" s="17" t="s">
        <v>281</v>
      </c>
      <c r="C190" s="17" t="s">
        <v>282</v>
      </c>
      <c r="D190" s="18"/>
      <c r="E190" s="19"/>
      <c r="F190" s="19"/>
      <c r="G190" s="20"/>
      <c r="H190" s="21"/>
      <c r="I190" s="22">
        <v>0</v>
      </c>
      <c r="J190" s="21">
        <v>23334</v>
      </c>
      <c r="K190" s="22">
        <v>22841</v>
      </c>
      <c r="L190" s="21">
        <v>23334</v>
      </c>
      <c r="M190" s="22">
        <v>23342</v>
      </c>
      <c r="N190" s="23">
        <v>23817</v>
      </c>
      <c r="O190" s="594">
        <v>23842</v>
      </c>
      <c r="P190" s="22">
        <v>23842</v>
      </c>
      <c r="Q190" s="95">
        <v>0</v>
      </c>
      <c r="R190" s="3">
        <f t="shared" ref="R190:R201" si="21">A190</f>
        <v>112</v>
      </c>
    </row>
    <row r="191" spans="1:18" x14ac:dyDescent="0.2">
      <c r="A191" s="1">
        <v>113</v>
      </c>
      <c r="B191" s="25" t="s">
        <v>283</v>
      </c>
      <c r="C191" s="25" t="s">
        <v>284</v>
      </c>
      <c r="D191" s="26"/>
      <c r="E191" s="27"/>
      <c r="F191" s="27"/>
      <c r="G191" s="28"/>
      <c r="H191" s="29"/>
      <c r="I191" s="30">
        <v>0</v>
      </c>
      <c r="J191" s="29">
        <v>1054.17</v>
      </c>
      <c r="K191" s="30">
        <v>1547</v>
      </c>
      <c r="L191" s="29">
        <v>1054</v>
      </c>
      <c r="M191" s="30">
        <v>1046</v>
      </c>
      <c r="N191" s="56">
        <v>1060</v>
      </c>
      <c r="O191" s="595">
        <v>530</v>
      </c>
      <c r="P191" s="30">
        <v>530</v>
      </c>
      <c r="Q191" s="59">
        <v>0</v>
      </c>
      <c r="R191" s="3">
        <f t="shared" si="21"/>
        <v>113</v>
      </c>
    </row>
    <row r="192" spans="1:18" hidden="1" x14ac:dyDescent="0.2">
      <c r="B192" s="25" t="s">
        <v>285</v>
      </c>
      <c r="C192" s="25" t="s">
        <v>286</v>
      </c>
      <c r="D192" s="26"/>
      <c r="E192" s="27"/>
      <c r="F192" s="27"/>
      <c r="G192" s="28"/>
      <c r="H192" s="29"/>
      <c r="I192" s="30">
        <v>0</v>
      </c>
      <c r="J192" s="29">
        <v>62500</v>
      </c>
      <c r="K192" s="30">
        <v>61914</v>
      </c>
      <c r="L192" s="29">
        <v>62500</v>
      </c>
      <c r="M192" s="30">
        <v>63052</v>
      </c>
      <c r="N192" s="56">
        <v>0</v>
      </c>
      <c r="O192" s="600"/>
      <c r="P192" s="58"/>
      <c r="Q192" s="59">
        <v>0</v>
      </c>
      <c r="R192" s="3">
        <f t="shared" si="21"/>
        <v>0</v>
      </c>
    </row>
    <row r="193" spans="1:18" hidden="1" x14ac:dyDescent="0.2">
      <c r="B193" s="25" t="s">
        <v>287</v>
      </c>
      <c r="C193" s="25" t="s">
        <v>288</v>
      </c>
      <c r="D193" s="26"/>
      <c r="E193" s="27"/>
      <c r="F193" s="27"/>
      <c r="G193" s="28"/>
      <c r="H193" s="29"/>
      <c r="I193" s="30">
        <v>0</v>
      </c>
      <c r="J193" s="29">
        <v>1901.33</v>
      </c>
      <c r="K193" s="30">
        <v>2487</v>
      </c>
      <c r="L193" s="29">
        <v>1900</v>
      </c>
      <c r="M193" s="30">
        <v>1255</v>
      </c>
      <c r="N193" s="56">
        <v>0</v>
      </c>
      <c r="O193" s="595"/>
      <c r="P193" s="58"/>
      <c r="Q193" s="59">
        <v>0</v>
      </c>
      <c r="R193" s="3">
        <f t="shared" si="21"/>
        <v>0</v>
      </c>
    </row>
    <row r="194" spans="1:18" x14ac:dyDescent="0.2">
      <c r="A194" s="1">
        <v>114</v>
      </c>
      <c r="B194" s="33" t="s">
        <v>289</v>
      </c>
      <c r="C194" s="33" t="s">
        <v>290</v>
      </c>
      <c r="D194" s="18"/>
      <c r="E194" s="19"/>
      <c r="F194" s="19"/>
      <c r="G194" s="20"/>
      <c r="H194" s="34">
        <v>15260</v>
      </c>
      <c r="I194" s="35">
        <v>15830.58</v>
      </c>
      <c r="J194" s="34">
        <v>16409.55</v>
      </c>
      <c r="K194" s="35">
        <v>16403</v>
      </c>
      <c r="L194" s="34">
        <v>17010</v>
      </c>
      <c r="M194" s="35">
        <v>17020</v>
      </c>
      <c r="N194" s="36">
        <v>17200</v>
      </c>
      <c r="O194" s="596">
        <v>17659</v>
      </c>
      <c r="P194" s="35">
        <v>17659</v>
      </c>
      <c r="Q194" s="54">
        <v>18729</v>
      </c>
      <c r="R194" s="3">
        <f t="shared" si="21"/>
        <v>114</v>
      </c>
    </row>
    <row r="195" spans="1:18" x14ac:dyDescent="0.2">
      <c r="A195" s="1">
        <v>115</v>
      </c>
      <c r="B195" s="25" t="s">
        <v>291</v>
      </c>
      <c r="C195" s="25" t="s">
        <v>292</v>
      </c>
      <c r="D195" s="26"/>
      <c r="E195" s="27"/>
      <c r="F195" s="27"/>
      <c r="G195" s="28"/>
      <c r="H195" s="29">
        <v>4420</v>
      </c>
      <c r="I195" s="30">
        <v>3847.55</v>
      </c>
      <c r="J195" s="29">
        <v>3268</v>
      </c>
      <c r="K195" s="30">
        <v>3275</v>
      </c>
      <c r="L195" s="29">
        <v>2670</v>
      </c>
      <c r="M195" s="30">
        <v>2658</v>
      </c>
      <c r="N195" s="56">
        <v>2478</v>
      </c>
      <c r="O195" s="595">
        <v>2019</v>
      </c>
      <c r="P195" s="30">
        <v>2019</v>
      </c>
      <c r="Q195" s="59">
        <v>949</v>
      </c>
      <c r="R195" s="3">
        <f t="shared" si="21"/>
        <v>115</v>
      </c>
    </row>
    <row r="196" spans="1:18" x14ac:dyDescent="0.2">
      <c r="A196" s="1">
        <v>116</v>
      </c>
      <c r="B196" s="33" t="s">
        <v>293</v>
      </c>
      <c r="C196" s="33" t="s">
        <v>294</v>
      </c>
      <c r="D196" s="18"/>
      <c r="E196" s="19"/>
      <c r="F196" s="19"/>
      <c r="G196" s="20"/>
      <c r="H196" s="34"/>
      <c r="I196" s="35"/>
      <c r="J196" s="34"/>
      <c r="K196" s="35"/>
      <c r="L196" s="34">
        <v>0</v>
      </c>
      <c r="M196" s="35">
        <v>0</v>
      </c>
      <c r="N196" s="36">
        <v>65000</v>
      </c>
      <c r="O196" s="601">
        <v>0</v>
      </c>
      <c r="P196" s="35">
        <v>65000</v>
      </c>
      <c r="Q196" s="54">
        <v>65000</v>
      </c>
      <c r="R196" s="3">
        <f t="shared" si="21"/>
        <v>116</v>
      </c>
    </row>
    <row r="197" spans="1:18" x14ac:dyDescent="0.2">
      <c r="A197" s="1">
        <v>117</v>
      </c>
      <c r="B197" s="25" t="s">
        <v>295</v>
      </c>
      <c r="C197" s="25" t="s">
        <v>296</v>
      </c>
      <c r="D197" s="26"/>
      <c r="E197" s="27"/>
      <c r="F197" s="27"/>
      <c r="G197" s="28"/>
      <c r="H197" s="29"/>
      <c r="I197" s="30"/>
      <c r="J197" s="29"/>
      <c r="K197" s="30"/>
      <c r="L197" s="29">
        <v>0</v>
      </c>
      <c r="M197" s="30">
        <v>0</v>
      </c>
      <c r="N197" s="56">
        <v>2575</v>
      </c>
      <c r="O197" s="595">
        <v>0</v>
      </c>
      <c r="P197" s="30">
        <v>2575</v>
      </c>
      <c r="Q197" s="59">
        <v>2575</v>
      </c>
      <c r="R197" s="3">
        <f t="shared" si="21"/>
        <v>117</v>
      </c>
    </row>
    <row r="198" spans="1:18" x14ac:dyDescent="0.2">
      <c r="A198" s="1">
        <v>118</v>
      </c>
      <c r="B198" s="33" t="s">
        <v>297</v>
      </c>
      <c r="C198" s="33" t="s">
        <v>298</v>
      </c>
      <c r="D198" s="18"/>
      <c r="E198" s="19"/>
      <c r="F198" s="19"/>
      <c r="G198" s="20"/>
      <c r="H198" s="34"/>
      <c r="I198" s="35"/>
      <c r="J198" s="34"/>
      <c r="K198" s="35"/>
      <c r="L198" s="34">
        <v>0</v>
      </c>
      <c r="M198" s="35">
        <v>0</v>
      </c>
      <c r="N198" s="36">
        <v>0</v>
      </c>
      <c r="O198" s="601"/>
      <c r="P198" s="35">
        <v>0</v>
      </c>
      <c r="Q198" s="54">
        <v>60000</v>
      </c>
      <c r="R198" s="3">
        <f t="shared" si="21"/>
        <v>118</v>
      </c>
    </row>
    <row r="199" spans="1:18" x14ac:dyDescent="0.2">
      <c r="A199" s="1">
        <v>119</v>
      </c>
      <c r="B199" s="25" t="s">
        <v>299</v>
      </c>
      <c r="C199" s="25" t="s">
        <v>300</v>
      </c>
      <c r="D199" s="26"/>
      <c r="E199" s="27"/>
      <c r="F199" s="27"/>
      <c r="G199" s="28"/>
      <c r="H199" s="29"/>
      <c r="I199" s="30"/>
      <c r="J199" s="29"/>
      <c r="K199" s="30"/>
      <c r="L199" s="29">
        <v>0</v>
      </c>
      <c r="M199" s="30">
        <v>0</v>
      </c>
      <c r="N199" s="56">
        <v>0</v>
      </c>
      <c r="O199" s="595"/>
      <c r="P199" s="30">
        <v>0</v>
      </c>
      <c r="Q199" s="59">
        <v>2735</v>
      </c>
      <c r="R199" s="3">
        <f t="shared" si="21"/>
        <v>119</v>
      </c>
    </row>
    <row r="200" spans="1:18" x14ac:dyDescent="0.2">
      <c r="A200" s="1">
        <v>120</v>
      </c>
      <c r="B200" s="33" t="s">
        <v>301</v>
      </c>
      <c r="C200" s="33" t="s">
        <v>302</v>
      </c>
      <c r="D200" s="18"/>
      <c r="E200" s="19"/>
      <c r="F200" s="19"/>
      <c r="G200" s="20"/>
      <c r="H200" s="34">
        <v>12500</v>
      </c>
      <c r="I200" s="35">
        <v>12500</v>
      </c>
      <c r="J200" s="34">
        <v>12500</v>
      </c>
      <c r="K200" s="35">
        <v>12500</v>
      </c>
      <c r="L200" s="34">
        <v>12500</v>
      </c>
      <c r="M200" s="35">
        <v>12500</v>
      </c>
      <c r="N200" s="36">
        <v>12500</v>
      </c>
      <c r="O200" s="596">
        <v>12500</v>
      </c>
      <c r="P200" s="35">
        <v>12500</v>
      </c>
      <c r="Q200" s="54">
        <v>12500</v>
      </c>
      <c r="R200" s="3">
        <f t="shared" si="21"/>
        <v>120</v>
      </c>
    </row>
    <row r="201" spans="1:18" ht="15" thickBot="1" x14ac:dyDescent="0.25">
      <c r="A201" s="1">
        <v>121</v>
      </c>
      <c r="B201" s="37" t="s">
        <v>303</v>
      </c>
      <c r="C201" s="37" t="s">
        <v>304</v>
      </c>
      <c r="D201" s="26"/>
      <c r="E201" s="27"/>
      <c r="F201" s="27"/>
      <c r="G201" s="28"/>
      <c r="H201" s="62">
        <v>2313</v>
      </c>
      <c r="I201" s="63">
        <v>2315.0300000000002</v>
      </c>
      <c r="J201" s="62">
        <v>1855.07</v>
      </c>
      <c r="K201" s="63">
        <v>1855</v>
      </c>
      <c r="L201" s="62">
        <v>1388</v>
      </c>
      <c r="M201" s="63">
        <v>1386</v>
      </c>
      <c r="N201" s="40">
        <v>925</v>
      </c>
      <c r="O201" s="621">
        <v>924</v>
      </c>
      <c r="P201" s="63">
        <v>924</v>
      </c>
      <c r="Q201" s="264">
        <v>925</v>
      </c>
      <c r="R201" s="3">
        <f t="shared" si="21"/>
        <v>121</v>
      </c>
    </row>
    <row r="202" spans="1:18" ht="15" thickBot="1" x14ac:dyDescent="0.25">
      <c r="B202" s="200"/>
      <c r="C202" s="201" t="s">
        <v>305</v>
      </c>
      <c r="D202" s="202"/>
      <c r="E202" s="203"/>
      <c r="F202" s="203"/>
      <c r="G202" s="204"/>
      <c r="H202" s="45">
        <f t="shared" ref="H202:Q202" si="22">SUM(H190:H201)</f>
        <v>34493</v>
      </c>
      <c r="I202" s="88">
        <f t="shared" si="22"/>
        <v>34493.160000000003</v>
      </c>
      <c r="J202" s="45">
        <f t="shared" si="22"/>
        <v>122822.12000000001</v>
      </c>
      <c r="K202" s="88">
        <f t="shared" si="22"/>
        <v>122822</v>
      </c>
      <c r="L202" s="102">
        <f t="shared" si="22"/>
        <v>122356</v>
      </c>
      <c r="M202" s="88">
        <f t="shared" si="22"/>
        <v>122259</v>
      </c>
      <c r="N202" s="102">
        <f t="shared" si="22"/>
        <v>125555</v>
      </c>
      <c r="O202" s="598">
        <f t="shared" si="22"/>
        <v>57474</v>
      </c>
      <c r="P202" s="88">
        <f t="shared" si="22"/>
        <v>125049</v>
      </c>
      <c r="Q202" s="106">
        <f t="shared" si="22"/>
        <v>163413</v>
      </c>
    </row>
    <row r="203" spans="1:18" x14ac:dyDescent="0.2">
      <c r="B203" s="10"/>
      <c r="C203" s="44"/>
      <c r="D203" s="44"/>
      <c r="E203" s="44"/>
      <c r="F203" s="44"/>
      <c r="G203" s="44"/>
      <c r="H203" s="263"/>
      <c r="I203" s="263"/>
      <c r="J203" s="263"/>
      <c r="K203" s="263"/>
      <c r="L203" s="265"/>
      <c r="M203" s="263"/>
      <c r="N203" s="265"/>
      <c r="O203" s="634"/>
      <c r="P203" s="263"/>
      <c r="Q203" s="267"/>
    </row>
    <row r="204" spans="1:18" ht="15" customHeight="1" thickBot="1" x14ac:dyDescent="0.25">
      <c r="B204" s="750" t="s">
        <v>306</v>
      </c>
      <c r="C204" s="750"/>
      <c r="D204" s="750"/>
      <c r="E204" s="750"/>
      <c r="F204" s="750"/>
      <c r="G204" s="750"/>
      <c r="H204" s="750"/>
      <c r="I204" s="750"/>
      <c r="J204" s="750"/>
      <c r="K204" s="750"/>
      <c r="L204" s="750"/>
      <c r="M204" s="750"/>
      <c r="N204" s="750"/>
      <c r="O204" s="750"/>
      <c r="P204" s="750"/>
      <c r="Q204" s="750"/>
    </row>
    <row r="205" spans="1:18" ht="15" customHeight="1" thickBot="1" x14ac:dyDescent="0.25">
      <c r="B205" s="52" t="s">
        <v>2</v>
      </c>
      <c r="C205" s="52" t="s">
        <v>3</v>
      </c>
      <c r="D205" s="768">
        <v>2013</v>
      </c>
      <c r="E205" s="768"/>
      <c r="F205" s="774">
        <v>2014</v>
      </c>
      <c r="G205" s="774"/>
      <c r="H205" s="753">
        <v>2015</v>
      </c>
      <c r="I205" s="753"/>
      <c r="J205" s="752">
        <v>2016</v>
      </c>
      <c r="K205" s="752"/>
      <c r="L205" s="752">
        <v>2017</v>
      </c>
      <c r="M205" s="752"/>
      <c r="N205" s="752">
        <f>$N$2</f>
        <v>2018</v>
      </c>
      <c r="O205" s="752"/>
      <c r="P205" s="752"/>
      <c r="Q205" s="754" t="str">
        <f>$Q$2</f>
        <v>2019 Proposed</v>
      </c>
    </row>
    <row r="206" spans="1:18" ht="15" customHeight="1" thickBot="1" x14ac:dyDescent="0.25">
      <c r="B206" s="268" t="s">
        <v>307</v>
      </c>
      <c r="C206" s="269"/>
      <c r="D206" s="270"/>
      <c r="E206" s="271" t="s">
        <v>5</v>
      </c>
      <c r="F206" s="10" t="s">
        <v>4</v>
      </c>
      <c r="G206" s="10" t="s">
        <v>5</v>
      </c>
      <c r="H206" s="68" t="s">
        <v>6</v>
      </c>
      <c r="I206" s="116" t="s">
        <v>4</v>
      </c>
      <c r="J206" s="11" t="s">
        <v>6</v>
      </c>
      <c r="K206" s="12" t="s">
        <v>4</v>
      </c>
      <c r="L206" s="11" t="s">
        <v>6</v>
      </c>
      <c r="M206" s="12" t="str">
        <f>$M$3</f>
        <v>Actual</v>
      </c>
      <c r="N206" s="11" t="s">
        <v>6</v>
      </c>
      <c r="O206" s="593" t="str">
        <f>$O$3</f>
        <v>As of 10/31</v>
      </c>
      <c r="P206" s="12" t="s">
        <v>8</v>
      </c>
      <c r="Q206" s="754"/>
    </row>
    <row r="207" spans="1:18" ht="15" customHeight="1" x14ac:dyDescent="0.2">
      <c r="A207" s="1">
        <v>122</v>
      </c>
      <c r="B207" s="272" t="s">
        <v>308</v>
      </c>
      <c r="C207" s="272" t="s">
        <v>309</v>
      </c>
      <c r="D207" s="273"/>
      <c r="E207" s="274"/>
      <c r="F207" s="273"/>
      <c r="G207" s="275"/>
      <c r="H207" s="276"/>
      <c r="I207" s="277"/>
      <c r="J207" s="120"/>
      <c r="K207" s="123"/>
      <c r="L207" s="120">
        <v>0</v>
      </c>
      <c r="M207" s="123">
        <v>130000</v>
      </c>
      <c r="N207" s="278"/>
      <c r="O207" s="635"/>
      <c r="P207" s="279"/>
      <c r="Q207" s="280"/>
      <c r="R207" s="3">
        <v>122</v>
      </c>
    </row>
    <row r="208" spans="1:18" ht="15" customHeight="1" thickBot="1" x14ac:dyDescent="0.25">
      <c r="A208" s="1">
        <v>123</v>
      </c>
      <c r="B208" s="9" t="s">
        <v>310</v>
      </c>
      <c r="C208" s="9" t="s">
        <v>311</v>
      </c>
      <c r="D208" s="281"/>
      <c r="E208" s="282"/>
      <c r="F208" s="283"/>
      <c r="G208" s="284"/>
      <c r="H208" s="285"/>
      <c r="I208" s="286"/>
      <c r="J208" s="128"/>
      <c r="K208" s="287"/>
      <c r="L208" s="288"/>
      <c r="M208" s="287">
        <v>15000</v>
      </c>
      <c r="N208" s="128">
        <v>0</v>
      </c>
      <c r="O208" s="636"/>
      <c r="P208" s="287">
        <v>15000</v>
      </c>
      <c r="Q208" s="289">
        <v>15000</v>
      </c>
      <c r="R208" s="3">
        <v>123</v>
      </c>
    </row>
    <row r="209" spans="1:19" s="145" customFormat="1" ht="15" customHeight="1" thickBot="1" x14ac:dyDescent="0.25">
      <c r="A209" s="290"/>
      <c r="B209" s="291"/>
      <c r="C209" s="292" t="s">
        <v>312</v>
      </c>
      <c r="D209" s="293"/>
      <c r="E209" s="293"/>
      <c r="F209" s="294"/>
      <c r="G209" s="294"/>
      <c r="H209" s="295"/>
      <c r="I209" s="296">
        <v>0</v>
      </c>
      <c r="J209" s="139"/>
      <c r="K209" s="142"/>
      <c r="L209" s="139"/>
      <c r="M209" s="142">
        <f>SUM(M207:M208)</f>
        <v>145000</v>
      </c>
      <c r="N209" s="139"/>
      <c r="O209" s="637"/>
      <c r="P209" s="142">
        <f>SUM(P207:P208)</f>
        <v>15000</v>
      </c>
      <c r="Q209" s="297">
        <f>SUM(Q207:Q208)</f>
        <v>15000</v>
      </c>
      <c r="R209" s="3"/>
    </row>
    <row r="210" spans="1:19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622"/>
      <c r="P210" s="10"/>
      <c r="Q210" s="206"/>
    </row>
    <row r="211" spans="1:19" x14ac:dyDescent="0.2">
      <c r="B211" s="10"/>
      <c r="C211" s="66" t="s">
        <v>313</v>
      </c>
      <c r="D211" s="10"/>
      <c r="E211" s="10"/>
      <c r="F211" s="10"/>
      <c r="G211" s="10"/>
      <c r="H211" s="10"/>
      <c r="I211" s="10"/>
      <c r="J211" s="265">
        <f t="shared" ref="J211:Q211" si="23">J116+J126+J151+J160+J175+J185+J202+J209</f>
        <v>1305372.1200000001</v>
      </c>
      <c r="K211" s="265">
        <f t="shared" si="23"/>
        <v>1372790.07</v>
      </c>
      <c r="L211" s="265">
        <f t="shared" si="23"/>
        <v>1303620.1635</v>
      </c>
      <c r="M211" s="265">
        <f t="shared" si="23"/>
        <v>1595432</v>
      </c>
      <c r="N211" s="265">
        <f t="shared" si="23"/>
        <v>1516309.25</v>
      </c>
      <c r="O211" s="638">
        <f t="shared" si="23"/>
        <v>1116041</v>
      </c>
      <c r="P211" s="265">
        <f t="shared" si="23"/>
        <v>1566772</v>
      </c>
      <c r="Q211" s="298">
        <f t="shared" si="23"/>
        <v>1416820.2100000002</v>
      </c>
    </row>
    <row r="212" spans="1:19" x14ac:dyDescent="0.2">
      <c r="B212" s="10"/>
      <c r="C212" s="66"/>
      <c r="D212" s="10"/>
      <c r="E212" s="10"/>
      <c r="F212" s="10"/>
      <c r="G212" s="10"/>
      <c r="H212" s="10"/>
      <c r="I212" s="10"/>
      <c r="J212" s="265"/>
      <c r="K212" s="265"/>
      <c r="L212" s="265"/>
      <c r="M212" s="265"/>
      <c r="N212" s="265"/>
      <c r="O212" s="638"/>
      <c r="P212" s="265"/>
      <c r="Q212" s="298"/>
    </row>
    <row r="213" spans="1:19" x14ac:dyDescent="0.2">
      <c r="C213" s="44" t="s">
        <v>314</v>
      </c>
      <c r="D213" s="10"/>
      <c r="E213" s="10"/>
      <c r="F213" s="10"/>
      <c r="G213" s="10"/>
      <c r="H213" s="265" t="e">
        <f>#REF!-#REF!</f>
        <v>#REF!</v>
      </c>
      <c r="I213" s="265" t="e">
        <f>#REF!-#REF!</f>
        <v>#REF!</v>
      </c>
      <c r="J213" s="50">
        <f t="shared" ref="J213:Q213" si="24">J81-J211</f>
        <v>-3500.1200000001118</v>
      </c>
      <c r="K213" s="50">
        <f t="shared" si="24"/>
        <v>409008.34999999986</v>
      </c>
      <c r="L213" s="299">
        <f t="shared" si="24"/>
        <v>-0.16350000002421439</v>
      </c>
      <c r="M213" s="50">
        <f t="shared" si="24"/>
        <v>78486.089999999851</v>
      </c>
      <c r="N213" s="50">
        <f t="shared" si="24"/>
        <v>-0.25</v>
      </c>
      <c r="O213" s="639">
        <f t="shared" si="24"/>
        <v>603893</v>
      </c>
      <c r="P213" s="50">
        <f t="shared" si="24"/>
        <v>197819</v>
      </c>
      <c r="Q213" s="300">
        <f t="shared" si="24"/>
        <v>-0.21000000019557774</v>
      </c>
    </row>
    <row r="214" spans="1:19" x14ac:dyDescent="0.2">
      <c r="B214" s="301"/>
      <c r="C214" s="10"/>
      <c r="D214" s="10"/>
      <c r="E214" s="10"/>
      <c r="F214" s="10"/>
      <c r="G214" s="10"/>
      <c r="H214" s="301"/>
      <c r="I214" s="301"/>
      <c r="J214" s="301"/>
      <c r="K214" s="301"/>
      <c r="L214" s="10"/>
      <c r="M214" s="301"/>
      <c r="N214" s="10"/>
      <c r="O214" s="622"/>
      <c r="P214" s="301"/>
      <c r="Q214" s="206"/>
    </row>
    <row r="216" spans="1:19" ht="9.75" customHeight="1" x14ac:dyDescent="0.2"/>
    <row r="217" spans="1:19" ht="65.849999999999994" hidden="1" customHeight="1" x14ac:dyDescent="0.95">
      <c r="A217" s="773">
        <f>Q81-Q211</f>
        <v>-0.21000000019557774</v>
      </c>
      <c r="B217" s="773"/>
      <c r="C217" s="773"/>
      <c r="D217" s="773"/>
      <c r="E217" s="773"/>
      <c r="F217" s="773"/>
      <c r="G217" s="773"/>
      <c r="H217" s="773"/>
      <c r="I217" s="773"/>
      <c r="J217" s="773"/>
      <c r="K217" s="773"/>
      <c r="L217" s="773"/>
      <c r="M217" s="773"/>
      <c r="N217" s="773"/>
      <c r="O217" s="773"/>
      <c r="P217" s="773"/>
      <c r="Q217" s="773"/>
      <c r="R217" s="773"/>
      <c r="S217" s="568"/>
    </row>
    <row r="218" spans="1:19" x14ac:dyDescent="0.2">
      <c r="M218"/>
    </row>
    <row r="268" spans="2:17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302"/>
      <c r="L268" s="302"/>
      <c r="M268" s="10"/>
      <c r="N268" s="302"/>
      <c r="O268" s="622"/>
      <c r="P268" s="10"/>
      <c r="Q268" s="206"/>
    </row>
    <row r="269" spans="2:17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622"/>
      <c r="P269" s="10"/>
      <c r="Q269" s="206"/>
    </row>
  </sheetData>
  <mergeCells count="126">
    <mergeCell ref="A217:R217"/>
    <mergeCell ref="B204:Q204"/>
    <mergeCell ref="D205:E205"/>
    <mergeCell ref="F205:G205"/>
    <mergeCell ref="H205:I205"/>
    <mergeCell ref="J205:K205"/>
    <mergeCell ref="L205:M205"/>
    <mergeCell ref="N205:P205"/>
    <mergeCell ref="Q205:Q206"/>
    <mergeCell ref="B187:Q187"/>
    <mergeCell ref="D188:E188"/>
    <mergeCell ref="F188:G188"/>
    <mergeCell ref="H188:I188"/>
    <mergeCell ref="J188:K188"/>
    <mergeCell ref="L188:M188"/>
    <mergeCell ref="N188:P188"/>
    <mergeCell ref="Q188:Q189"/>
    <mergeCell ref="B175:C175"/>
    <mergeCell ref="B177:Q177"/>
    <mergeCell ref="D178:E178"/>
    <mergeCell ref="F178:G178"/>
    <mergeCell ref="H178:I178"/>
    <mergeCell ref="J178:K178"/>
    <mergeCell ref="L178:M178"/>
    <mergeCell ref="N178:P178"/>
    <mergeCell ref="Q178:Q179"/>
    <mergeCell ref="Q154:Q155"/>
    <mergeCell ref="B162:Q162"/>
    <mergeCell ref="D163:E163"/>
    <mergeCell ref="F163:G163"/>
    <mergeCell ref="H163:I163"/>
    <mergeCell ref="J163:K163"/>
    <mergeCell ref="L163:M163"/>
    <mergeCell ref="N163:P163"/>
    <mergeCell ref="Q163:Q164"/>
    <mergeCell ref="D154:E154"/>
    <mergeCell ref="F154:G154"/>
    <mergeCell ref="H154:I154"/>
    <mergeCell ref="J154:K154"/>
    <mergeCell ref="L154:M154"/>
    <mergeCell ref="N154:P154"/>
    <mergeCell ref="H131:H132"/>
    <mergeCell ref="J131:J132"/>
    <mergeCell ref="L131:L132"/>
    <mergeCell ref="M131:M132"/>
    <mergeCell ref="N138:N142"/>
    <mergeCell ref="B153:Q153"/>
    <mergeCell ref="B128:Q128"/>
    <mergeCell ref="D129:E129"/>
    <mergeCell ref="F129:G129"/>
    <mergeCell ref="H129:I129"/>
    <mergeCell ref="J129:K129"/>
    <mergeCell ref="L129:M129"/>
    <mergeCell ref="N129:P129"/>
    <mergeCell ref="Q129:Q130"/>
    <mergeCell ref="B117:Q117"/>
    <mergeCell ref="D118:E118"/>
    <mergeCell ref="F118:G118"/>
    <mergeCell ref="H118:I118"/>
    <mergeCell ref="J118:K118"/>
    <mergeCell ref="L118:M118"/>
    <mergeCell ref="N118:P118"/>
    <mergeCell ref="Q118:Q119"/>
    <mergeCell ref="Q75:Q76"/>
    <mergeCell ref="B81:C81"/>
    <mergeCell ref="B82:Q82"/>
    <mergeCell ref="D83:E83"/>
    <mergeCell ref="F83:G83"/>
    <mergeCell ref="H83:I83"/>
    <mergeCell ref="J83:K83"/>
    <mergeCell ref="L83:M83"/>
    <mergeCell ref="N83:P83"/>
    <mergeCell ref="Q83:Q84"/>
    <mergeCell ref="B64:C64"/>
    <mergeCell ref="B71:C71"/>
    <mergeCell ref="B73:C73"/>
    <mergeCell ref="B74:Q74"/>
    <mergeCell ref="D75:E75"/>
    <mergeCell ref="F75:G75"/>
    <mergeCell ref="H75:I75"/>
    <mergeCell ref="J75:K75"/>
    <mergeCell ref="L75:M75"/>
    <mergeCell ref="N75:P75"/>
    <mergeCell ref="B44:C44"/>
    <mergeCell ref="B46:Q46"/>
    <mergeCell ref="D47:E47"/>
    <mergeCell ref="F47:G47"/>
    <mergeCell ref="H47:I47"/>
    <mergeCell ref="J47:K47"/>
    <mergeCell ref="L47:M47"/>
    <mergeCell ref="N47:P47"/>
    <mergeCell ref="Q47:Q48"/>
    <mergeCell ref="B35:C35"/>
    <mergeCell ref="B36:Q36"/>
    <mergeCell ref="D37:E37"/>
    <mergeCell ref="F37:G37"/>
    <mergeCell ref="H37:I37"/>
    <mergeCell ref="J37:K37"/>
    <mergeCell ref="L37:M37"/>
    <mergeCell ref="N37:P37"/>
    <mergeCell ref="Q37:Q38"/>
    <mergeCell ref="B24:D24"/>
    <mergeCell ref="B25:Q25"/>
    <mergeCell ref="D26:E26"/>
    <mergeCell ref="F26:G26"/>
    <mergeCell ref="H26:I26"/>
    <mergeCell ref="J26:K26"/>
    <mergeCell ref="L26:M26"/>
    <mergeCell ref="N26:P26"/>
    <mergeCell ref="Q26:Q27"/>
    <mergeCell ref="B10:Q10"/>
    <mergeCell ref="D11:E11"/>
    <mergeCell ref="F11:G11"/>
    <mergeCell ref="H11:I11"/>
    <mergeCell ref="J11:K11"/>
    <mergeCell ref="L11:M11"/>
    <mergeCell ref="N11:P11"/>
    <mergeCell ref="Q11:Q12"/>
    <mergeCell ref="B1:Q1"/>
    <mergeCell ref="D2:E2"/>
    <mergeCell ref="F2:G2"/>
    <mergeCell ref="H2:I2"/>
    <mergeCell ref="J2:K2"/>
    <mergeCell ref="L2:M2"/>
    <mergeCell ref="N2:P2"/>
    <mergeCell ref="Q2:Q3"/>
  </mergeCells>
  <pageMargins left="0.12520000000000001" right="7.5200000000000003E-2" top="0.67708333333333304" bottom="0.34375" header="0.3" footer="0.3"/>
  <pageSetup fitToHeight="0" orientation="landscape" cellComments="asDisplayed" r:id="rId1"/>
  <headerFooter alignWithMargins="0">
    <oddHeader>&amp;C&amp;"Calibri,Regular"&amp;K0000002019 GENERAL FUND BUDGET --DRAFT 11-7-18</oddHeader>
    <oddFooter>&amp;C&amp;"Calibri,Regular"&amp;K000000Page &amp;P of 6</oddFooter>
  </headerFooter>
  <rowBreaks count="5" manualBreakCount="5">
    <brk id="35" max="16383" man="1"/>
    <brk id="81" max="16383" man="1"/>
    <brk id="116" max="16383" man="1"/>
    <brk id="151" max="16383" man="1"/>
    <brk id="185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8"/>
  <sheetViews>
    <sheetView workbookViewId="0"/>
  </sheetViews>
  <sheetFormatPr defaultRowHeight="15" x14ac:dyDescent="0.25"/>
  <cols>
    <col min="1" max="1" width="12.625" style="561" customWidth="1"/>
    <col min="2" max="2" width="8.625" style="561" customWidth="1"/>
    <col min="3" max="3" width="10.25" style="561" customWidth="1"/>
    <col min="4" max="1024" width="9.25" style="561" customWidth="1"/>
  </cols>
  <sheetData>
    <row r="1" spans="1:8" x14ac:dyDescent="0.25">
      <c r="B1" s="794" t="s">
        <v>592</v>
      </c>
      <c r="C1" s="794"/>
      <c r="D1" s="794"/>
      <c r="E1" s="794"/>
      <c r="F1" s="794"/>
      <c r="G1" s="794"/>
    </row>
    <row r="2" spans="1:8" x14ac:dyDescent="0.25">
      <c r="B2" s="795">
        <v>2013</v>
      </c>
      <c r="C2" s="795">
        <v>2014</v>
      </c>
      <c r="D2" s="795">
        <v>2015</v>
      </c>
      <c r="E2" s="795">
        <v>2016</v>
      </c>
      <c r="F2" s="795">
        <v>2017</v>
      </c>
      <c r="G2" s="794">
        <v>2018</v>
      </c>
      <c r="H2" s="794"/>
    </row>
    <row r="3" spans="1:8" ht="22.5" x14ac:dyDescent="0.25">
      <c r="B3" s="795"/>
      <c r="C3" s="795"/>
      <c r="D3" s="795"/>
      <c r="E3" s="795"/>
      <c r="F3" s="795"/>
      <c r="G3" s="562" t="s">
        <v>593</v>
      </c>
      <c r="H3" s="562" t="s">
        <v>594</v>
      </c>
    </row>
    <row r="4" spans="1:8" x14ac:dyDescent="0.25">
      <c r="A4" s="561" t="s">
        <v>595</v>
      </c>
      <c r="B4" s="563">
        <v>614534</v>
      </c>
      <c r="C4" s="563">
        <v>619671</v>
      </c>
      <c r="D4" s="563">
        <v>631729</v>
      </c>
      <c r="E4" s="563">
        <v>644572</v>
      </c>
      <c r="F4" s="563">
        <v>661402</v>
      </c>
      <c r="G4" s="563">
        <v>683718</v>
      </c>
      <c r="H4" s="563">
        <v>683718</v>
      </c>
    </row>
    <row r="5" spans="1:8" x14ac:dyDescent="0.25">
      <c r="A5" s="564" t="s">
        <v>596</v>
      </c>
      <c r="B5" s="565">
        <v>35417</v>
      </c>
      <c r="C5" s="565">
        <v>34955</v>
      </c>
      <c r="D5" s="566">
        <v>34491</v>
      </c>
      <c r="E5" s="566">
        <v>152240</v>
      </c>
      <c r="F5" s="565">
        <v>122359</v>
      </c>
      <c r="G5" s="565">
        <v>59336</v>
      </c>
      <c r="H5" s="565">
        <v>77436</v>
      </c>
    </row>
    <row r="6" spans="1:8" x14ac:dyDescent="0.25">
      <c r="A6" s="561" t="s">
        <v>597</v>
      </c>
      <c r="B6" s="563">
        <f>SUM(B4:B5)</f>
        <v>649951</v>
      </c>
      <c r="C6" s="563">
        <f>SUM(C4:C5)</f>
        <v>654626</v>
      </c>
      <c r="D6" s="563">
        <v>666220</v>
      </c>
      <c r="E6" s="563">
        <f>SUM(E4:E5)</f>
        <v>796812</v>
      </c>
      <c r="F6" s="563">
        <f>SUM(F4:F5)</f>
        <v>783761</v>
      </c>
      <c r="G6" s="563">
        <f>SUM(G4:G5)</f>
        <v>743054</v>
      </c>
      <c r="H6" s="563">
        <f>SUM(H4:H5)</f>
        <v>761154</v>
      </c>
    </row>
    <row r="8" spans="1:8" x14ac:dyDescent="0.25">
      <c r="A8" s="561" t="s">
        <v>598</v>
      </c>
    </row>
  </sheetData>
  <mergeCells count="7">
    <mergeCell ref="B1:G1"/>
    <mergeCell ref="B2:B3"/>
    <mergeCell ref="C2:C3"/>
    <mergeCell ref="D2:D3"/>
    <mergeCell ref="E2:E3"/>
    <mergeCell ref="F2:F3"/>
    <mergeCell ref="G2:H2"/>
  </mergeCells>
  <pageMargins left="0" right="0" top="0.63540000000000008" bottom="0.63540000000000008" header="0" footer="0"/>
  <pageSetup paperSize="0" fitToWidth="0" fitToHeight="0" pageOrder="overThenDown" orientation="portrait" horizontalDpi="0" verticalDpi="0" copies="0"/>
  <headerFooter>
    <oddHeader>&amp;C&amp;K000000&amp;A</oddHeader>
    <oddFooter>&amp;C&amp;K000000Page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C220"/>
  <sheetViews>
    <sheetView topLeftCell="A134" zoomScaleNormal="100" workbookViewId="0">
      <selection activeCell="K163" sqref="K163"/>
    </sheetView>
  </sheetViews>
  <sheetFormatPr defaultRowHeight="14.25" x14ac:dyDescent="0.2"/>
  <cols>
    <col min="1" max="1" width="11.625" style="49" customWidth="1"/>
    <col min="2" max="2" width="23.625" style="49" customWidth="1"/>
    <col min="3" max="3" width="6.125" style="49" hidden="1" customWidth="1"/>
    <col min="4" max="4" width="6.625" style="49" hidden="1" customWidth="1"/>
    <col min="5" max="5" width="6.375" style="49" hidden="1" customWidth="1"/>
    <col min="6" max="6" width="5.875" style="49" hidden="1" customWidth="1"/>
    <col min="7" max="7" width="9.875" style="49" hidden="1" customWidth="1"/>
    <col min="8" max="8" width="10.375" style="49" hidden="1" customWidth="1"/>
    <col min="9" max="9" width="12.125" style="49" customWidth="1"/>
    <col min="10" max="10" width="8.5" style="599" customWidth="1"/>
    <col min="11" max="11" width="9.375" style="49" customWidth="1"/>
    <col min="12" max="12" width="9.375" style="51" customWidth="1"/>
    <col min="13" max="1017" width="9.25" style="5" customWidth="1"/>
    <col min="1018" max="16384" width="9" style="674"/>
  </cols>
  <sheetData>
    <row r="1" spans="1:12" ht="15" thickBot="1" x14ac:dyDescent="0.25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14.25" customHeight="1" thickBot="1" x14ac:dyDescent="0.25">
      <c r="A2" s="7"/>
      <c r="B2" s="7"/>
      <c r="C2" s="750">
        <v>2013</v>
      </c>
      <c r="D2" s="750"/>
      <c r="E2" s="750">
        <v>2014</v>
      </c>
      <c r="F2" s="750"/>
      <c r="G2" s="755">
        <v>2015</v>
      </c>
      <c r="H2" s="755"/>
      <c r="I2" s="756">
        <v>2019</v>
      </c>
      <c r="J2" s="756"/>
      <c r="K2" s="756"/>
      <c r="L2" s="754" t="s">
        <v>606</v>
      </c>
    </row>
    <row r="3" spans="1:12" s="16" customFormat="1" ht="13.5" customHeight="1" thickBot="1" x14ac:dyDescent="0.25">
      <c r="A3" s="9" t="s">
        <v>2</v>
      </c>
      <c r="B3" s="9" t="s">
        <v>3</v>
      </c>
      <c r="C3" s="10" t="s">
        <v>4</v>
      </c>
      <c r="D3" s="10" t="s">
        <v>5</v>
      </c>
      <c r="E3" s="10" t="s">
        <v>4</v>
      </c>
      <c r="F3" s="10" t="s">
        <v>5</v>
      </c>
      <c r="G3" s="11" t="s">
        <v>6</v>
      </c>
      <c r="H3" s="12" t="s">
        <v>4</v>
      </c>
      <c r="I3" s="11" t="s">
        <v>6</v>
      </c>
      <c r="J3" s="593" t="s">
        <v>456</v>
      </c>
      <c r="K3" s="13" t="s">
        <v>8</v>
      </c>
      <c r="L3" s="754"/>
    </row>
    <row r="4" spans="1:12" s="16" customFormat="1" ht="12.75" x14ac:dyDescent="0.2">
      <c r="A4" s="17"/>
      <c r="B4" s="17" t="s">
        <v>10</v>
      </c>
      <c r="C4" s="18"/>
      <c r="D4" s="19"/>
      <c r="E4" s="19"/>
      <c r="F4" s="20"/>
      <c r="G4" s="21">
        <v>666221</v>
      </c>
      <c r="H4" s="22">
        <v>666002.39</v>
      </c>
      <c r="I4" s="23"/>
      <c r="J4" s="594"/>
      <c r="K4" s="22"/>
      <c r="L4" s="24"/>
    </row>
    <row r="5" spans="1:12" s="16" customFormat="1" ht="12.75" x14ac:dyDescent="0.2">
      <c r="A5" s="25"/>
      <c r="B5" s="25" t="s">
        <v>12</v>
      </c>
      <c r="C5" s="26"/>
      <c r="D5" s="27"/>
      <c r="E5" s="27"/>
      <c r="F5" s="28"/>
      <c r="G5" s="29">
        <v>0</v>
      </c>
      <c r="H5" s="30">
        <v>0.42</v>
      </c>
      <c r="I5" s="31"/>
      <c r="J5" s="595"/>
      <c r="K5" s="30"/>
      <c r="L5" s="32"/>
    </row>
    <row r="6" spans="1:12" s="16" customFormat="1" ht="12.75" x14ac:dyDescent="0.2">
      <c r="A6" s="33"/>
      <c r="B6" s="33" t="s">
        <v>14</v>
      </c>
      <c r="C6" s="18"/>
      <c r="D6" s="19"/>
      <c r="E6" s="19"/>
      <c r="F6" s="20"/>
      <c r="G6" s="34">
        <v>13000</v>
      </c>
      <c r="H6" s="35">
        <v>15166.85</v>
      </c>
      <c r="I6" s="36"/>
      <c r="J6" s="596">
        <v>712.25</v>
      </c>
      <c r="K6" s="35"/>
      <c r="L6" s="54"/>
    </row>
    <row r="7" spans="1:12" s="16" customFormat="1" ht="13.5" thickBot="1" x14ac:dyDescent="0.25">
      <c r="A7" s="37"/>
      <c r="B7" s="37" t="s">
        <v>16</v>
      </c>
      <c r="C7" s="26"/>
      <c r="D7" s="27"/>
      <c r="E7" s="27"/>
      <c r="F7" s="28"/>
      <c r="G7" s="38">
        <v>1000</v>
      </c>
      <c r="H7" s="39">
        <v>12235.49</v>
      </c>
      <c r="I7" s="40"/>
      <c r="J7" s="597"/>
      <c r="K7" s="39"/>
      <c r="L7" s="41"/>
    </row>
    <row r="8" spans="1:12" ht="15" thickBot="1" x14ac:dyDescent="0.25">
      <c r="A8" s="42"/>
      <c r="B8" s="43" t="s">
        <v>17</v>
      </c>
      <c r="C8" s="44"/>
      <c r="D8" s="44"/>
      <c r="E8" s="44"/>
      <c r="F8" s="44"/>
      <c r="G8" s="45">
        <f t="shared" ref="G8:L8" si="0">SUM(G4:G7)</f>
        <v>680221</v>
      </c>
      <c r="H8" s="46">
        <f t="shared" si="0"/>
        <v>693405.15</v>
      </c>
      <c r="I8" s="45">
        <f t="shared" si="0"/>
        <v>0</v>
      </c>
      <c r="J8" s="598">
        <f t="shared" si="0"/>
        <v>712.25</v>
      </c>
      <c r="K8" s="47">
        <f t="shared" si="0"/>
        <v>0</v>
      </c>
      <c r="L8" s="48">
        <f t="shared" si="0"/>
        <v>0</v>
      </c>
    </row>
    <row r="9" spans="1:12" ht="7.5" customHeight="1" x14ac:dyDescent="0.2">
      <c r="H9" s="50"/>
    </row>
    <row r="10" spans="1:12" ht="15" thickBot="1" x14ac:dyDescent="0.25">
      <c r="A10" s="750" t="s">
        <v>18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</row>
    <row r="11" spans="1:12" ht="15" thickBot="1" x14ac:dyDescent="0.25">
      <c r="A11" s="52"/>
      <c r="B11" s="52"/>
      <c r="C11" s="751">
        <v>2013</v>
      </c>
      <c r="D11" s="751"/>
      <c r="E11" s="751">
        <v>2014</v>
      </c>
      <c r="F11" s="751"/>
      <c r="G11" s="752">
        <v>2015</v>
      </c>
      <c r="H11" s="752"/>
      <c r="I11" s="752">
        <f>$I$2</f>
        <v>2019</v>
      </c>
      <c r="J11" s="752"/>
      <c r="K11" s="752"/>
      <c r="L11" s="754" t="str">
        <f>$L$2</f>
        <v>2020 Proposed</v>
      </c>
    </row>
    <row r="12" spans="1:12" s="16" customFormat="1" ht="24.75" customHeight="1" thickBot="1" x14ac:dyDescent="0.25">
      <c r="A12" s="9" t="s">
        <v>2</v>
      </c>
      <c r="B12" s="9" t="s">
        <v>3</v>
      </c>
      <c r="C12" s="10" t="s">
        <v>4</v>
      </c>
      <c r="D12" s="10" t="s">
        <v>5</v>
      </c>
      <c r="E12" s="10" t="s">
        <v>4</v>
      </c>
      <c r="F12" s="10" t="s">
        <v>5</v>
      </c>
      <c r="G12" s="11" t="s">
        <v>6</v>
      </c>
      <c r="H12" s="12" t="s">
        <v>4</v>
      </c>
      <c r="I12" s="11" t="s">
        <v>6</v>
      </c>
      <c r="J12" s="593" t="str">
        <f>$J$3</f>
        <v>As of 10/31</v>
      </c>
      <c r="K12" s="13" t="s">
        <v>8</v>
      </c>
      <c r="L12" s="754"/>
    </row>
    <row r="13" spans="1:12" x14ac:dyDescent="0.2">
      <c r="A13" s="33"/>
      <c r="B13" s="33" t="s">
        <v>20</v>
      </c>
      <c r="C13" s="18"/>
      <c r="D13" s="19"/>
      <c r="E13" s="19"/>
      <c r="F13" s="20"/>
      <c r="G13" s="34">
        <v>36366</v>
      </c>
      <c r="H13" s="35">
        <v>36731.11</v>
      </c>
      <c r="I13" s="23"/>
      <c r="J13" s="596"/>
      <c r="K13" s="35"/>
      <c r="L13" s="24"/>
    </row>
    <row r="14" spans="1:12" x14ac:dyDescent="0.2">
      <c r="A14" s="25"/>
      <c r="B14" s="25" t="s">
        <v>22</v>
      </c>
      <c r="C14" s="26"/>
      <c r="D14" s="27"/>
      <c r="E14" s="27"/>
      <c r="F14" s="28"/>
      <c r="G14" s="29">
        <v>11554</v>
      </c>
      <c r="H14" s="30">
        <v>11099.4</v>
      </c>
      <c r="I14" s="53"/>
      <c r="J14" s="595">
        <v>9088.33</v>
      </c>
      <c r="K14" s="30"/>
      <c r="L14" s="41"/>
    </row>
    <row r="15" spans="1:12" x14ac:dyDescent="0.2">
      <c r="A15" s="33"/>
      <c r="B15" s="33" t="s">
        <v>24</v>
      </c>
      <c r="C15" s="18"/>
      <c r="D15" s="19"/>
      <c r="E15" s="19"/>
      <c r="F15" s="20"/>
      <c r="G15" s="34">
        <v>134476</v>
      </c>
      <c r="H15" s="35">
        <v>134476.14000000001</v>
      </c>
      <c r="I15" s="36"/>
      <c r="J15" s="596"/>
      <c r="K15" s="35"/>
      <c r="L15" s="54"/>
    </row>
    <row r="16" spans="1:12" x14ac:dyDescent="0.2">
      <c r="A16" s="25"/>
      <c r="B16" s="25" t="s">
        <v>26</v>
      </c>
      <c r="C16" s="26">
        <v>7746</v>
      </c>
      <c r="D16" s="27"/>
      <c r="E16" s="27">
        <v>7737</v>
      </c>
      <c r="F16" s="28"/>
      <c r="G16" s="29">
        <v>7700</v>
      </c>
      <c r="H16" s="30">
        <v>7735.13</v>
      </c>
      <c r="I16" s="55"/>
      <c r="J16" s="600">
        <v>4687.99</v>
      </c>
      <c r="K16" s="30"/>
      <c r="L16" s="189"/>
    </row>
    <row r="17" spans="1:13" x14ac:dyDescent="0.2">
      <c r="A17" s="33"/>
      <c r="B17" s="33" t="s">
        <v>28</v>
      </c>
      <c r="C17" s="18">
        <v>112</v>
      </c>
      <c r="D17" s="19"/>
      <c r="E17" s="19">
        <v>131</v>
      </c>
      <c r="F17" s="20"/>
      <c r="G17" s="34">
        <v>85</v>
      </c>
      <c r="H17" s="35">
        <v>86</v>
      </c>
      <c r="I17" s="36"/>
      <c r="J17" s="601">
        <v>13.51</v>
      </c>
      <c r="K17" s="35"/>
      <c r="L17" s="54"/>
    </row>
    <row r="18" spans="1:13" x14ac:dyDescent="0.2">
      <c r="A18" s="25"/>
      <c r="B18" s="25" t="s">
        <v>30</v>
      </c>
      <c r="C18" s="26">
        <v>2650</v>
      </c>
      <c r="D18" s="27"/>
      <c r="E18" s="27">
        <v>3023</v>
      </c>
      <c r="F18" s="28"/>
      <c r="G18" s="29">
        <v>3000</v>
      </c>
      <c r="H18" s="30">
        <v>2650.09</v>
      </c>
      <c r="I18" s="56"/>
      <c r="J18" s="600">
        <v>1464.93</v>
      </c>
      <c r="K18" s="30"/>
      <c r="L18" s="59"/>
    </row>
    <row r="19" spans="1:13" x14ac:dyDescent="0.2">
      <c r="A19" s="25"/>
      <c r="B19" s="25" t="s">
        <v>32</v>
      </c>
      <c r="C19" s="26"/>
      <c r="D19" s="27"/>
      <c r="E19" s="27"/>
      <c r="F19" s="28"/>
      <c r="G19" s="29"/>
      <c r="H19" s="30"/>
      <c r="I19" s="57"/>
      <c r="J19" s="600"/>
      <c r="K19" s="58"/>
      <c r="L19" s="59"/>
    </row>
    <row r="20" spans="1:13" x14ac:dyDescent="0.2">
      <c r="A20" s="33"/>
      <c r="B20" s="33" t="s">
        <v>35</v>
      </c>
      <c r="C20" s="18"/>
      <c r="D20" s="19"/>
      <c r="E20" s="19"/>
      <c r="F20" s="20"/>
      <c r="G20" s="34">
        <v>0</v>
      </c>
      <c r="H20" s="35">
        <v>179.76</v>
      </c>
      <c r="I20" s="36"/>
      <c r="J20" s="596">
        <v>669.59</v>
      </c>
      <c r="K20" s="35"/>
      <c r="L20" s="54"/>
    </row>
    <row r="21" spans="1:13" s="16" customFormat="1" ht="12.75" x14ac:dyDescent="0.2">
      <c r="A21" s="25"/>
      <c r="B21" s="25" t="s">
        <v>37</v>
      </c>
      <c r="C21" s="26"/>
      <c r="D21" s="27"/>
      <c r="E21" s="27"/>
      <c r="F21" s="28"/>
      <c r="G21" s="29">
        <v>300</v>
      </c>
      <c r="H21" s="30">
        <v>308.48</v>
      </c>
      <c r="I21" s="55"/>
      <c r="J21" s="595">
        <v>3928.52</v>
      </c>
      <c r="K21" s="30"/>
      <c r="L21" s="189"/>
    </row>
    <row r="22" spans="1:13" s="16" customFormat="1" ht="12.75" x14ac:dyDescent="0.2">
      <c r="A22" s="33"/>
      <c r="B22" s="33" t="s">
        <v>39</v>
      </c>
      <c r="C22" s="18">
        <v>0</v>
      </c>
      <c r="D22" s="19"/>
      <c r="E22" s="19">
        <v>0</v>
      </c>
      <c r="F22" s="20"/>
      <c r="G22" s="34">
        <v>13000</v>
      </c>
      <c r="H22" s="35">
        <v>25870.65</v>
      </c>
      <c r="I22" s="36"/>
      <c r="J22" s="596">
        <v>11744.39</v>
      </c>
      <c r="K22" s="35"/>
      <c r="L22" s="54"/>
    </row>
    <row r="23" spans="1:13" ht="15" thickBot="1" x14ac:dyDescent="0.25">
      <c r="A23" s="60"/>
      <c r="B23" s="60" t="s">
        <v>41</v>
      </c>
      <c r="C23" s="61"/>
      <c r="D23" s="27"/>
      <c r="E23" s="27"/>
      <c r="F23" s="28"/>
      <c r="G23" s="62">
        <v>228</v>
      </c>
      <c r="H23" s="63">
        <v>236</v>
      </c>
      <c r="I23" s="64"/>
      <c r="J23" s="602"/>
      <c r="K23" s="63"/>
      <c r="L23" s="262"/>
    </row>
    <row r="24" spans="1:13" ht="15" thickBot="1" x14ac:dyDescent="0.25">
      <c r="A24" s="757" t="s">
        <v>42</v>
      </c>
      <c r="B24" s="757"/>
      <c r="C24" s="757"/>
      <c r="D24" s="44"/>
      <c r="E24" s="44"/>
      <c r="F24" s="44"/>
      <c r="G24" s="45">
        <f t="shared" ref="G24:L24" si="1">SUM(G13:G23)</f>
        <v>206709</v>
      </c>
      <c r="H24" s="46">
        <f t="shared" si="1"/>
        <v>219372.76000000004</v>
      </c>
      <c r="I24" s="45">
        <f t="shared" si="1"/>
        <v>0</v>
      </c>
      <c r="J24" s="598">
        <f t="shared" si="1"/>
        <v>31597.26</v>
      </c>
      <c r="K24" s="47">
        <f t="shared" si="1"/>
        <v>0</v>
      </c>
      <c r="L24" s="48">
        <f t="shared" si="1"/>
        <v>0</v>
      </c>
    </row>
    <row r="25" spans="1:13" ht="15" thickBot="1" x14ac:dyDescent="0.25">
      <c r="A25" s="750" t="s">
        <v>43</v>
      </c>
      <c r="B25" s="750"/>
      <c r="C25" s="750"/>
      <c r="D25" s="750"/>
      <c r="E25" s="750"/>
      <c r="F25" s="750"/>
      <c r="G25" s="750"/>
      <c r="H25" s="750"/>
      <c r="I25" s="750"/>
      <c r="J25" s="750"/>
      <c r="K25" s="750"/>
      <c r="L25" s="750"/>
    </row>
    <row r="26" spans="1:13" ht="15" thickBot="1" x14ac:dyDescent="0.25">
      <c r="A26" s="52"/>
      <c r="B26" s="52"/>
      <c r="C26" s="751">
        <v>2013</v>
      </c>
      <c r="D26" s="751"/>
      <c r="E26" s="751">
        <v>2014</v>
      </c>
      <c r="F26" s="751"/>
      <c r="G26" s="752">
        <v>2015</v>
      </c>
      <c r="H26" s="752"/>
      <c r="I26" s="752">
        <f>$I$2</f>
        <v>2019</v>
      </c>
      <c r="J26" s="752"/>
      <c r="K26" s="752"/>
      <c r="L26" s="758" t="str">
        <f>$L$2</f>
        <v>2020 Proposed</v>
      </c>
    </row>
    <row r="27" spans="1:13" s="16" customFormat="1" ht="13.5" customHeight="1" thickBot="1" x14ac:dyDescent="0.25">
      <c r="A27" s="9" t="s">
        <v>2</v>
      </c>
      <c r="B27" s="9" t="s">
        <v>3</v>
      </c>
      <c r="C27" s="10" t="s">
        <v>4</v>
      </c>
      <c r="D27" s="10" t="s">
        <v>5</v>
      </c>
      <c r="E27" s="10" t="s">
        <v>4</v>
      </c>
      <c r="F27" s="10" t="s">
        <v>5</v>
      </c>
      <c r="G27" s="11" t="s">
        <v>6</v>
      </c>
      <c r="H27" s="12" t="s">
        <v>4</v>
      </c>
      <c r="I27" s="11" t="s">
        <v>6</v>
      </c>
      <c r="J27" s="593" t="str">
        <f>$J$3</f>
        <v>As of 10/31</v>
      </c>
      <c r="K27" s="12" t="s">
        <v>8</v>
      </c>
      <c r="L27" s="758"/>
    </row>
    <row r="28" spans="1:13" x14ac:dyDescent="0.2">
      <c r="A28" s="33"/>
      <c r="B28" s="33" t="s">
        <v>45</v>
      </c>
      <c r="C28" s="18"/>
      <c r="D28" s="19"/>
      <c r="E28" s="19"/>
      <c r="F28" s="20"/>
      <c r="G28" s="34">
        <v>4100</v>
      </c>
      <c r="H28" s="35">
        <v>4725</v>
      </c>
      <c r="I28" s="71"/>
      <c r="J28" s="596">
        <v>3193</v>
      </c>
      <c r="K28" s="70"/>
      <c r="L28" s="95"/>
    </row>
    <row r="29" spans="1:13" x14ac:dyDescent="0.2">
      <c r="A29" s="25"/>
      <c r="B29" s="25" t="s">
        <v>47</v>
      </c>
      <c r="C29" s="26"/>
      <c r="D29" s="27"/>
      <c r="E29" s="27"/>
      <c r="F29" s="28"/>
      <c r="G29" s="29">
        <v>250</v>
      </c>
      <c r="H29" s="30">
        <v>253</v>
      </c>
      <c r="I29" s="73"/>
      <c r="J29" s="595"/>
      <c r="K29" s="72"/>
      <c r="L29" s="59"/>
    </row>
    <row r="30" spans="1:13" x14ac:dyDescent="0.2">
      <c r="A30" s="33"/>
      <c r="B30" s="33" t="s">
        <v>49</v>
      </c>
      <c r="C30" s="18"/>
      <c r="D30" s="19"/>
      <c r="E30" s="19"/>
      <c r="F30" s="20"/>
      <c r="G30" s="34">
        <v>100</v>
      </c>
      <c r="H30" s="35">
        <v>100</v>
      </c>
      <c r="I30" s="74"/>
      <c r="J30" s="596">
        <v>25</v>
      </c>
      <c r="K30" s="70"/>
      <c r="L30" s="54"/>
    </row>
    <row r="31" spans="1:13" x14ac:dyDescent="0.2">
      <c r="A31" s="25"/>
      <c r="B31" s="25" t="s">
        <v>51</v>
      </c>
      <c r="C31" s="26"/>
      <c r="D31" s="27"/>
      <c r="E31" s="27"/>
      <c r="F31" s="28"/>
      <c r="G31" s="29">
        <v>2150</v>
      </c>
      <c r="H31" s="30">
        <v>2053.85</v>
      </c>
      <c r="I31" s="75"/>
      <c r="J31" s="595">
        <v>681.5</v>
      </c>
      <c r="K31" s="72"/>
      <c r="L31" s="97"/>
    </row>
    <row r="32" spans="1:13" x14ac:dyDescent="0.2">
      <c r="A32" s="33"/>
      <c r="B32" s="33" t="s">
        <v>53</v>
      </c>
      <c r="C32" s="18">
        <v>83000</v>
      </c>
      <c r="D32" s="19"/>
      <c r="E32" s="19">
        <v>44000</v>
      </c>
      <c r="F32" s="20"/>
      <c r="G32" s="34">
        <v>35000</v>
      </c>
      <c r="H32" s="35">
        <v>80495.759999999995</v>
      </c>
      <c r="I32" s="76"/>
      <c r="J32" s="596">
        <v>9168</v>
      </c>
      <c r="K32" s="70"/>
      <c r="L32" s="260"/>
      <c r="M32" s="5" t="s">
        <v>663</v>
      </c>
    </row>
    <row r="33" spans="1:1017" ht="15" thickBot="1" x14ac:dyDescent="0.25">
      <c r="A33" s="25"/>
      <c r="B33" s="25" t="s">
        <v>664</v>
      </c>
      <c r="C33" s="26"/>
      <c r="D33" s="27"/>
      <c r="E33" s="27"/>
      <c r="F33" s="28"/>
      <c r="G33" s="62">
        <v>1200</v>
      </c>
      <c r="H33" s="63">
        <v>2250</v>
      </c>
      <c r="I33" s="73"/>
      <c r="J33" s="597"/>
      <c r="K33" s="77"/>
      <c r="L33" s="41"/>
    </row>
    <row r="34" spans="1:1017" s="676" customFormat="1" ht="15" thickBot="1" x14ac:dyDescent="0.25">
      <c r="A34" s="126"/>
      <c r="B34" s="126" t="s">
        <v>665</v>
      </c>
      <c r="C34" s="10"/>
      <c r="D34" s="10"/>
      <c r="E34" s="10"/>
      <c r="F34" s="10"/>
      <c r="G34" s="728"/>
      <c r="H34" s="745"/>
      <c r="I34" s="448"/>
      <c r="J34" s="597"/>
      <c r="K34" s="77"/>
      <c r="L34" s="3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</row>
    <row r="35" spans="1:1017" ht="15" thickBot="1" x14ac:dyDescent="0.25">
      <c r="A35" s="78"/>
      <c r="B35" s="78" t="s">
        <v>57</v>
      </c>
      <c r="C35" s="79"/>
      <c r="D35" s="79"/>
      <c r="E35" s="79"/>
      <c r="F35" s="79"/>
      <c r="G35" s="80"/>
      <c r="H35" s="81"/>
      <c r="I35" s="86"/>
      <c r="J35" s="603">
        <v>500</v>
      </c>
      <c r="K35" s="87"/>
      <c r="L35" s="591"/>
    </row>
    <row r="36" spans="1:1017" ht="15" thickBot="1" x14ac:dyDescent="0.25">
      <c r="A36" s="757" t="s">
        <v>58</v>
      </c>
      <c r="B36" s="757"/>
      <c r="C36" s="44"/>
      <c r="D36" s="44"/>
      <c r="E36" s="44"/>
      <c r="F36" s="44"/>
      <c r="G36" s="45">
        <f t="shared" ref="G36:I36" si="2">SUM(G28:G33)</f>
        <v>42800</v>
      </c>
      <c r="H36" s="47">
        <f t="shared" si="2"/>
        <v>89877.61</v>
      </c>
      <c r="I36" s="45">
        <f t="shared" si="2"/>
        <v>0</v>
      </c>
      <c r="J36" s="598">
        <f>SUM(J28:J35)</f>
        <v>13567.5</v>
      </c>
      <c r="K36" s="47">
        <f>SUM(K28:K35)</f>
        <v>0</v>
      </c>
      <c r="L36" s="48">
        <f>SUM(L28:L35)</f>
        <v>0</v>
      </c>
    </row>
    <row r="37" spans="1:1017" ht="17.25" customHeight="1" thickBot="1" x14ac:dyDescent="0.25">
      <c r="A37" s="750" t="s">
        <v>59</v>
      </c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</row>
    <row r="38" spans="1:1017" ht="15" thickBot="1" x14ac:dyDescent="0.25">
      <c r="A38" s="52"/>
      <c r="B38" s="52"/>
      <c r="C38" s="751">
        <v>2013</v>
      </c>
      <c r="D38" s="751"/>
      <c r="E38" s="751">
        <v>2014</v>
      </c>
      <c r="F38" s="751"/>
      <c r="G38" s="752">
        <v>2015</v>
      </c>
      <c r="H38" s="752"/>
      <c r="I38" s="753">
        <f>$I$2</f>
        <v>2019</v>
      </c>
      <c r="J38" s="753"/>
      <c r="K38" s="753"/>
      <c r="L38" s="754" t="str">
        <f>$L$2</f>
        <v>2020 Proposed</v>
      </c>
    </row>
    <row r="39" spans="1:1017" s="16" customFormat="1" ht="13.5" customHeight="1" thickBot="1" x14ac:dyDescent="0.25">
      <c r="A39" s="9" t="s">
        <v>2</v>
      </c>
      <c r="B39" s="9" t="s">
        <v>3</v>
      </c>
      <c r="C39" s="10" t="s">
        <v>4</v>
      </c>
      <c r="D39" s="10" t="s">
        <v>5</v>
      </c>
      <c r="E39" s="10" t="s">
        <v>4</v>
      </c>
      <c r="F39" s="10" t="s">
        <v>5</v>
      </c>
      <c r="G39" s="11" t="s">
        <v>6</v>
      </c>
      <c r="H39" s="12" t="s">
        <v>4</v>
      </c>
      <c r="I39" s="11" t="s">
        <v>6</v>
      </c>
      <c r="J39" s="593" t="str">
        <f>$J$3</f>
        <v>As of 10/31</v>
      </c>
      <c r="K39" s="13" t="s">
        <v>8</v>
      </c>
      <c r="L39" s="754"/>
    </row>
    <row r="40" spans="1:1017" x14ac:dyDescent="0.2">
      <c r="A40" s="33"/>
      <c r="B40" s="33" t="s">
        <v>61</v>
      </c>
      <c r="C40" s="18"/>
      <c r="D40" s="19"/>
      <c r="E40" s="19"/>
      <c r="F40" s="20"/>
      <c r="G40" s="34">
        <v>120</v>
      </c>
      <c r="H40" s="35">
        <v>140</v>
      </c>
      <c r="I40" s="23"/>
      <c r="J40" s="596">
        <v>0</v>
      </c>
      <c r="K40" s="35"/>
      <c r="L40" s="24"/>
    </row>
    <row r="41" spans="1:1017" x14ac:dyDescent="0.2">
      <c r="A41" s="25"/>
      <c r="B41" s="25" t="s">
        <v>63</v>
      </c>
      <c r="C41" s="26"/>
      <c r="D41" s="27"/>
      <c r="E41" s="27"/>
      <c r="F41" s="28"/>
      <c r="G41" s="29">
        <v>600</v>
      </c>
      <c r="H41" s="30">
        <v>725</v>
      </c>
      <c r="I41" s="56"/>
      <c r="J41" s="595"/>
      <c r="K41" s="30"/>
      <c r="L41" s="59"/>
    </row>
    <row r="42" spans="1:1017" x14ac:dyDescent="0.2">
      <c r="A42" s="25"/>
      <c r="B42" s="25" t="s">
        <v>65</v>
      </c>
      <c r="C42" s="26"/>
      <c r="D42" s="27"/>
      <c r="E42" s="27"/>
      <c r="F42" s="28"/>
      <c r="G42" s="29">
        <v>0</v>
      </c>
      <c r="H42" s="30">
        <v>15000</v>
      </c>
      <c r="I42" s="53"/>
      <c r="J42" s="595"/>
      <c r="K42" s="30"/>
      <c r="L42" s="41"/>
    </row>
    <row r="43" spans="1:1017" x14ac:dyDescent="0.2">
      <c r="A43" s="33"/>
      <c r="B43" s="33" t="s">
        <v>666</v>
      </c>
      <c r="C43" s="18"/>
      <c r="D43" s="19"/>
      <c r="E43" s="19"/>
      <c r="F43" s="20"/>
      <c r="G43" s="34">
        <v>206000</v>
      </c>
      <c r="H43" s="35">
        <v>211304.42</v>
      </c>
      <c r="I43" s="36"/>
      <c r="J43" s="601">
        <v>14876.4</v>
      </c>
      <c r="K43" s="35"/>
      <c r="L43" s="54"/>
      <c r="M43" s="5" t="s">
        <v>667</v>
      </c>
    </row>
    <row r="44" spans="1:1017" ht="15" thickBot="1" x14ac:dyDescent="0.25">
      <c r="A44" s="37"/>
      <c r="B44" s="37"/>
      <c r="C44" s="26"/>
      <c r="D44" s="27"/>
      <c r="E44" s="27"/>
      <c r="F44" s="28"/>
      <c r="G44" s="62">
        <v>200</v>
      </c>
      <c r="H44" s="63">
        <v>386</v>
      </c>
      <c r="I44" s="91"/>
      <c r="J44" s="602"/>
      <c r="K44" s="63"/>
      <c r="L44" s="592"/>
    </row>
    <row r="45" spans="1:1017" ht="15" thickBot="1" x14ac:dyDescent="0.25">
      <c r="A45" s="757" t="s">
        <v>70</v>
      </c>
      <c r="B45" s="757"/>
      <c r="C45" s="44"/>
      <c r="D45" s="44"/>
      <c r="E45" s="44"/>
      <c r="F45" s="44"/>
      <c r="G45" s="45">
        <f t="shared" ref="G45:L45" si="3">SUM(G40:G44)</f>
        <v>206920</v>
      </c>
      <c r="H45" s="88">
        <f t="shared" si="3"/>
        <v>227555.42</v>
      </c>
      <c r="I45" s="45">
        <f t="shared" si="3"/>
        <v>0</v>
      </c>
      <c r="J45" s="598">
        <f t="shared" si="3"/>
        <v>14876.4</v>
      </c>
      <c r="K45" s="88">
        <f t="shared" si="3"/>
        <v>0</v>
      </c>
      <c r="L45" s="92">
        <f t="shared" si="3"/>
        <v>0</v>
      </c>
    </row>
    <row r="46" spans="1:1017" ht="10.5" customHeight="1" x14ac:dyDescent="0.2"/>
    <row r="47" spans="1:1017" ht="15" thickBot="1" x14ac:dyDescent="0.25">
      <c r="A47" s="759" t="s">
        <v>71</v>
      </c>
      <c r="B47" s="759"/>
      <c r="C47" s="759"/>
      <c r="D47" s="759"/>
      <c r="E47" s="759"/>
      <c r="F47" s="759"/>
      <c r="G47" s="759"/>
      <c r="H47" s="759"/>
      <c r="I47" s="759"/>
      <c r="J47" s="759"/>
      <c r="K47" s="759"/>
      <c r="L47" s="759"/>
    </row>
    <row r="48" spans="1:1017" ht="14.25" customHeight="1" thickBot="1" x14ac:dyDescent="0.25">
      <c r="A48" s="52"/>
      <c r="B48" s="93"/>
      <c r="C48" s="760">
        <v>2013</v>
      </c>
      <c r="D48" s="760"/>
      <c r="E48" s="751">
        <v>2014</v>
      </c>
      <c r="F48" s="751"/>
      <c r="G48" s="752">
        <v>2015</v>
      </c>
      <c r="H48" s="752"/>
      <c r="I48" s="752">
        <f>$I$2</f>
        <v>2019</v>
      </c>
      <c r="J48" s="752"/>
      <c r="K48" s="752"/>
      <c r="L48" s="761" t="str">
        <f>$L$2</f>
        <v>2020 Proposed</v>
      </c>
    </row>
    <row r="49" spans="1:1017" s="16" customFormat="1" ht="13.5" customHeight="1" thickBot="1" x14ac:dyDescent="0.25">
      <c r="A49" s="9" t="s">
        <v>2</v>
      </c>
      <c r="B49" s="94" t="s">
        <v>3</v>
      </c>
      <c r="C49" s="10" t="s">
        <v>4</v>
      </c>
      <c r="D49" s="10" t="s">
        <v>5</v>
      </c>
      <c r="E49" s="10" t="s">
        <v>4</v>
      </c>
      <c r="F49" s="10" t="s">
        <v>5</v>
      </c>
      <c r="G49" s="11" t="s">
        <v>6</v>
      </c>
      <c r="H49" s="12" t="s">
        <v>4</v>
      </c>
      <c r="I49" s="11" t="s">
        <v>6</v>
      </c>
      <c r="J49" s="593" t="str">
        <f>$J$3</f>
        <v>As of 10/31</v>
      </c>
      <c r="K49" s="12" t="s">
        <v>8</v>
      </c>
      <c r="L49" s="761"/>
    </row>
    <row r="50" spans="1:1017" x14ac:dyDescent="0.2">
      <c r="A50" s="33"/>
      <c r="B50" s="17" t="s">
        <v>73</v>
      </c>
      <c r="C50" s="18">
        <v>3500</v>
      </c>
      <c r="D50" s="19"/>
      <c r="E50" s="19">
        <v>12833</v>
      </c>
      <c r="F50" s="20" t="s">
        <v>74</v>
      </c>
      <c r="G50" s="34">
        <v>2600</v>
      </c>
      <c r="H50" s="35">
        <v>3205.32</v>
      </c>
      <c r="I50" s="23"/>
      <c r="J50" s="596">
        <v>360.04</v>
      </c>
      <c r="K50" s="35"/>
      <c r="L50" s="95"/>
    </row>
    <row r="51" spans="1:1017" s="676" customFormat="1" x14ac:dyDescent="0.2">
      <c r="A51" s="33"/>
      <c r="B51" s="150" t="s">
        <v>668</v>
      </c>
      <c r="C51" s="18"/>
      <c r="D51" s="19"/>
      <c r="E51" s="19"/>
      <c r="F51" s="20"/>
      <c r="G51" s="34"/>
      <c r="H51" s="35"/>
      <c r="I51" s="171"/>
      <c r="J51" s="596">
        <v>7573.43</v>
      </c>
      <c r="K51" s="35"/>
      <c r="L51" s="172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</row>
    <row r="52" spans="1:1017" ht="15" thickBot="1" x14ac:dyDescent="0.25">
      <c r="A52" s="25"/>
      <c r="B52" s="25" t="s">
        <v>669</v>
      </c>
      <c r="C52" s="26"/>
      <c r="D52" s="27"/>
      <c r="E52" s="27"/>
      <c r="F52" s="28"/>
      <c r="G52" s="29">
        <v>1500</v>
      </c>
      <c r="H52" s="30">
        <v>6569.32</v>
      </c>
      <c r="I52" s="53"/>
      <c r="J52" s="595">
        <v>1200</v>
      </c>
      <c r="K52" s="30"/>
      <c r="L52" s="41"/>
    </row>
    <row r="53" spans="1:1017" ht="15" thickBot="1" x14ac:dyDescent="0.25">
      <c r="A53" s="757" t="s">
        <v>102</v>
      </c>
      <c r="B53" s="757"/>
      <c r="C53" s="44"/>
      <c r="D53" s="44"/>
      <c r="E53" s="44"/>
      <c r="F53" s="44"/>
      <c r="G53" s="102">
        <f t="shared" ref="G53:L53" si="4">SUM(G50:G52)</f>
        <v>4100</v>
      </c>
      <c r="H53" s="102">
        <f t="shared" si="4"/>
        <v>9774.64</v>
      </c>
      <c r="I53" s="102">
        <f t="shared" si="4"/>
        <v>0</v>
      </c>
      <c r="J53" s="606">
        <f t="shared" si="4"/>
        <v>9133.4700000000012</v>
      </c>
      <c r="K53" s="105">
        <f t="shared" si="4"/>
        <v>0</v>
      </c>
      <c r="L53" s="106">
        <f t="shared" si="4"/>
        <v>0</v>
      </c>
    </row>
    <row r="54" spans="1:1017" s="676" customFormat="1" x14ac:dyDescent="0.2">
      <c r="A54" s="44"/>
      <c r="B54" s="44"/>
      <c r="C54" s="44"/>
      <c r="D54" s="44"/>
      <c r="E54" s="44"/>
      <c r="F54" s="44"/>
      <c r="G54" s="265"/>
      <c r="H54" s="265"/>
      <c r="I54" s="265"/>
      <c r="J54" s="638"/>
      <c r="K54" s="265"/>
      <c r="L54" s="26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</row>
    <row r="55" spans="1:1017" ht="15" thickBot="1" x14ac:dyDescent="0.25">
      <c r="A55" s="746" t="s">
        <v>468</v>
      </c>
    </row>
    <row r="56" spans="1:1017" ht="15" customHeight="1" thickBot="1" x14ac:dyDescent="0.25">
      <c r="A56" s="699"/>
      <c r="B56" s="700"/>
      <c r="C56" s="797">
        <v>2013</v>
      </c>
      <c r="D56" s="797"/>
      <c r="E56" s="798">
        <v>2014</v>
      </c>
      <c r="F56" s="798"/>
      <c r="G56" s="799">
        <v>2015</v>
      </c>
      <c r="H56" s="799"/>
      <c r="I56" s="800">
        <f>$I$2</f>
        <v>2019</v>
      </c>
      <c r="J56" s="800"/>
      <c r="K56" s="800"/>
      <c r="L56" s="801" t="str">
        <f>$L$2</f>
        <v>2020 Proposed</v>
      </c>
    </row>
    <row r="57" spans="1:1017" s="16" customFormat="1" ht="13.5" customHeight="1" thickBot="1" x14ac:dyDescent="0.25">
      <c r="A57" s="701" t="s">
        <v>2</v>
      </c>
      <c r="B57" s="702" t="s">
        <v>3</v>
      </c>
      <c r="C57" s="703" t="s">
        <v>4</v>
      </c>
      <c r="D57" s="703" t="s">
        <v>5</v>
      </c>
      <c r="E57" s="703" t="s">
        <v>4</v>
      </c>
      <c r="F57" s="703" t="s">
        <v>5</v>
      </c>
      <c r="G57" s="704" t="s">
        <v>6</v>
      </c>
      <c r="H57" s="705" t="s">
        <v>4</v>
      </c>
      <c r="I57" s="704" t="s">
        <v>6</v>
      </c>
      <c r="J57" s="706" t="str">
        <f>$J$3</f>
        <v>As of 10/31</v>
      </c>
      <c r="K57" s="707" t="s">
        <v>8</v>
      </c>
      <c r="L57" s="802"/>
    </row>
    <row r="58" spans="1:1017" x14ac:dyDescent="0.2">
      <c r="A58" s="695"/>
      <c r="B58" s="695" t="s">
        <v>119</v>
      </c>
      <c r="C58" s="695"/>
      <c r="D58" s="695"/>
      <c r="E58" s="695"/>
      <c r="F58" s="695"/>
      <c r="G58" s="696">
        <v>10000</v>
      </c>
      <c r="H58" s="696">
        <v>10540</v>
      </c>
      <c r="I58" s="697"/>
      <c r="J58" s="698">
        <v>12865</v>
      </c>
      <c r="K58" s="696"/>
      <c r="L58" s="697"/>
    </row>
    <row r="59" spans="1:1017" x14ac:dyDescent="0.2">
      <c r="A59" s="682"/>
      <c r="B59" s="682" t="s">
        <v>121</v>
      </c>
      <c r="C59" s="682"/>
      <c r="D59" s="682"/>
      <c r="E59" s="682"/>
      <c r="F59" s="682"/>
      <c r="G59" s="683">
        <v>900</v>
      </c>
      <c r="H59" s="683">
        <v>806.33</v>
      </c>
      <c r="I59" s="681"/>
      <c r="J59" s="687">
        <v>984.19</v>
      </c>
      <c r="K59" s="683"/>
      <c r="L59" s="681"/>
    </row>
    <row r="60" spans="1:1017" x14ac:dyDescent="0.2">
      <c r="A60" s="682"/>
      <c r="B60" s="682" t="s">
        <v>123</v>
      </c>
      <c r="C60" s="682"/>
      <c r="D60" s="682"/>
      <c r="E60" s="682"/>
      <c r="F60" s="682"/>
      <c r="G60" s="683">
        <v>3500</v>
      </c>
      <c r="H60" s="683">
        <v>3245</v>
      </c>
      <c r="I60" s="681"/>
      <c r="J60" s="684">
        <v>3449.5</v>
      </c>
      <c r="K60" s="683"/>
      <c r="L60" s="681"/>
    </row>
    <row r="61" spans="1:1017" x14ac:dyDescent="0.2">
      <c r="A61" s="682"/>
      <c r="B61" s="682" t="s">
        <v>125</v>
      </c>
      <c r="C61" s="682"/>
      <c r="D61" s="682"/>
      <c r="E61" s="682"/>
      <c r="F61" s="682"/>
      <c r="G61" s="683">
        <v>600</v>
      </c>
      <c r="H61" s="683">
        <v>466.92</v>
      </c>
      <c r="I61" s="681"/>
      <c r="J61" s="687">
        <v>413.35</v>
      </c>
      <c r="K61" s="683"/>
      <c r="L61" s="681"/>
    </row>
    <row r="62" spans="1:1017" ht="16.5" customHeight="1" x14ac:dyDescent="0.2">
      <c r="A62" s="682"/>
      <c r="B62" s="682" t="s">
        <v>129</v>
      </c>
      <c r="C62" s="682"/>
      <c r="D62" s="682"/>
      <c r="E62" s="682"/>
      <c r="F62" s="682"/>
      <c r="G62" s="683">
        <v>6000</v>
      </c>
      <c r="H62" s="683">
        <v>652.5</v>
      </c>
      <c r="I62" s="681"/>
      <c r="J62" s="684">
        <v>1865.5</v>
      </c>
      <c r="K62" s="683"/>
      <c r="L62" s="681"/>
    </row>
    <row r="63" spans="1:1017" x14ac:dyDescent="0.2">
      <c r="A63" s="682"/>
      <c r="B63" s="682" t="s">
        <v>609</v>
      </c>
      <c r="C63" s="682"/>
      <c r="D63" s="682"/>
      <c r="E63" s="682"/>
      <c r="F63" s="682"/>
      <c r="G63" s="683">
        <v>46800</v>
      </c>
      <c r="H63" s="683">
        <v>46779.24</v>
      </c>
      <c r="I63" s="681"/>
      <c r="J63" s="687">
        <v>15750</v>
      </c>
      <c r="K63" s="683"/>
      <c r="L63" s="681"/>
    </row>
    <row r="64" spans="1:1017" x14ac:dyDescent="0.2">
      <c r="A64" s="682"/>
      <c r="B64" s="682" t="s">
        <v>608</v>
      </c>
      <c r="C64" s="682"/>
      <c r="D64" s="682"/>
      <c r="E64" s="682"/>
      <c r="F64" s="682"/>
      <c r="G64" s="689">
        <f>G63*0.0765</f>
        <v>3580.2</v>
      </c>
      <c r="H64" s="683">
        <v>3590.11</v>
      </c>
      <c r="I64" s="690"/>
      <c r="J64" s="687">
        <v>1204.8900000000001</v>
      </c>
      <c r="K64" s="689"/>
      <c r="L64" s="690"/>
    </row>
    <row r="65" spans="1:1017" x14ac:dyDescent="0.2">
      <c r="A65" s="682"/>
      <c r="B65" s="682" t="s">
        <v>607</v>
      </c>
      <c r="C65" s="682"/>
      <c r="D65" s="682"/>
      <c r="E65" s="682"/>
      <c r="F65" s="682"/>
      <c r="G65" s="683">
        <f>G63*0.068</f>
        <v>3182.4</v>
      </c>
      <c r="H65" s="683">
        <v>3191.3</v>
      </c>
      <c r="I65" s="681"/>
      <c r="J65" s="687">
        <v>450</v>
      </c>
      <c r="K65" s="683"/>
      <c r="L65" s="681"/>
    </row>
    <row r="66" spans="1:1017" x14ac:dyDescent="0.2">
      <c r="A66" s="682"/>
      <c r="B66" s="682" t="s">
        <v>610</v>
      </c>
      <c r="C66" s="682"/>
      <c r="D66" s="682"/>
      <c r="E66" s="682"/>
      <c r="F66" s="682"/>
      <c r="G66" s="683">
        <v>10000</v>
      </c>
      <c r="H66" s="683">
        <v>9645.9500000000007</v>
      </c>
      <c r="I66" s="681"/>
      <c r="J66" s="687">
        <v>2895.51</v>
      </c>
      <c r="K66" s="683"/>
      <c r="L66" s="681"/>
    </row>
    <row r="67" spans="1:1017" s="676" customFormat="1" x14ac:dyDescent="0.2">
      <c r="A67" s="682"/>
      <c r="B67" s="682" t="s">
        <v>611</v>
      </c>
      <c r="C67" s="682"/>
      <c r="D67" s="682"/>
      <c r="E67" s="682"/>
      <c r="F67" s="682"/>
      <c r="G67" s="683"/>
      <c r="H67" s="683"/>
      <c r="I67" s="681"/>
      <c r="J67" s="687">
        <v>282</v>
      </c>
      <c r="K67" s="683"/>
      <c r="L67" s="68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</row>
    <row r="68" spans="1:1017" s="676" customFormat="1" x14ac:dyDescent="0.2">
      <c r="A68" s="682"/>
      <c r="B68" s="682" t="s">
        <v>612</v>
      </c>
      <c r="C68" s="682"/>
      <c r="D68" s="682"/>
      <c r="E68" s="682"/>
      <c r="F68" s="682"/>
      <c r="G68" s="683"/>
      <c r="H68" s="683"/>
      <c r="I68" s="681"/>
      <c r="J68" s="687">
        <v>882.03</v>
      </c>
      <c r="K68" s="683"/>
      <c r="L68" s="68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</row>
    <row r="69" spans="1:1017" s="676" customFormat="1" x14ac:dyDescent="0.2">
      <c r="A69" s="682"/>
      <c r="B69" s="682" t="s">
        <v>613</v>
      </c>
      <c r="C69" s="682"/>
      <c r="D69" s="682"/>
      <c r="E69" s="682"/>
      <c r="F69" s="682"/>
      <c r="G69" s="683"/>
      <c r="H69" s="683"/>
      <c r="I69" s="681"/>
      <c r="J69" s="687">
        <v>699.9</v>
      </c>
      <c r="K69" s="683"/>
      <c r="L69" s="68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</row>
    <row r="70" spans="1:1017" s="676" customFormat="1" x14ac:dyDescent="0.2">
      <c r="A70" s="682"/>
      <c r="B70" s="682" t="s">
        <v>662</v>
      </c>
      <c r="C70" s="682"/>
      <c r="D70" s="682"/>
      <c r="E70" s="682"/>
      <c r="F70" s="682"/>
      <c r="G70" s="683"/>
      <c r="H70" s="683"/>
      <c r="I70" s="681"/>
      <c r="J70" s="687">
        <v>0</v>
      </c>
      <c r="K70" s="683"/>
      <c r="L70" s="681">
        <v>3000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</row>
    <row r="71" spans="1:1017" s="676" customFormat="1" x14ac:dyDescent="0.2">
      <c r="A71" s="682"/>
      <c r="B71" s="682" t="s">
        <v>615</v>
      </c>
      <c r="C71" s="682"/>
      <c r="D71" s="682"/>
      <c r="E71" s="682"/>
      <c r="F71" s="682"/>
      <c r="G71" s="683"/>
      <c r="H71" s="683"/>
      <c r="I71" s="681"/>
      <c r="J71" s="687">
        <v>380</v>
      </c>
      <c r="K71" s="683"/>
      <c r="L71" s="68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</row>
    <row r="72" spans="1:1017" x14ac:dyDescent="0.2">
      <c r="A72" s="682"/>
      <c r="B72" s="682" t="s">
        <v>152</v>
      </c>
      <c r="C72" s="682"/>
      <c r="D72" s="682"/>
      <c r="E72" s="682"/>
      <c r="F72" s="682"/>
      <c r="G72" s="683">
        <v>2000</v>
      </c>
      <c r="H72" s="683">
        <v>1111.2</v>
      </c>
      <c r="I72" s="681"/>
      <c r="J72" s="684"/>
      <c r="K72" s="683"/>
      <c r="L72" s="681">
        <v>4500</v>
      </c>
      <c r="M72" s="5" t="s">
        <v>661</v>
      </c>
    </row>
    <row r="73" spans="1:1017" x14ac:dyDescent="0.2">
      <c r="A73" s="682"/>
      <c r="B73" s="682" t="s">
        <v>154</v>
      </c>
      <c r="C73" s="682"/>
      <c r="D73" s="682"/>
      <c r="E73" s="682"/>
      <c r="F73" s="682"/>
      <c r="G73" s="683">
        <v>2500</v>
      </c>
      <c r="H73" s="683">
        <v>668.25</v>
      </c>
      <c r="I73" s="681"/>
      <c r="J73" s="684">
        <v>786.5</v>
      </c>
      <c r="K73" s="683"/>
      <c r="L73" s="681"/>
    </row>
    <row r="74" spans="1:1017" s="676" customFormat="1" x14ac:dyDescent="0.2">
      <c r="A74" s="682"/>
      <c r="B74" s="682" t="s">
        <v>623</v>
      </c>
      <c r="C74" s="682"/>
      <c r="D74" s="682"/>
      <c r="E74" s="682"/>
      <c r="F74" s="682"/>
      <c r="G74" s="683"/>
      <c r="H74" s="683"/>
      <c r="I74" s="681"/>
      <c r="J74" s="684">
        <v>60.2</v>
      </c>
      <c r="K74" s="683"/>
      <c r="L74" s="68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</row>
    <row r="75" spans="1:1017" s="676" customFormat="1" x14ac:dyDescent="0.2">
      <c r="A75" s="682"/>
      <c r="B75" s="682" t="s">
        <v>614</v>
      </c>
      <c r="C75" s="682"/>
      <c r="D75" s="682"/>
      <c r="E75" s="682"/>
      <c r="F75" s="682"/>
      <c r="G75" s="683"/>
      <c r="H75" s="683"/>
      <c r="I75" s="681"/>
      <c r="J75" s="684">
        <v>686.76</v>
      </c>
      <c r="K75" s="683"/>
      <c r="L75" s="68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</row>
    <row r="76" spans="1:1017" s="676" customFormat="1" x14ac:dyDescent="0.2">
      <c r="A76" s="682"/>
      <c r="B76" s="682" t="s">
        <v>616</v>
      </c>
      <c r="C76" s="682"/>
      <c r="D76" s="682"/>
      <c r="E76" s="682"/>
      <c r="F76" s="682"/>
      <c r="G76" s="683"/>
      <c r="H76" s="683"/>
      <c r="I76" s="681"/>
      <c r="J76" s="684">
        <v>12500</v>
      </c>
      <c r="K76" s="683"/>
      <c r="L76" s="681"/>
      <c r="M76" s="5" t="s">
        <v>622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</row>
    <row r="77" spans="1:1017" s="676" customFormat="1" x14ac:dyDescent="0.2">
      <c r="A77" s="682"/>
      <c r="B77" s="682" t="s">
        <v>624</v>
      </c>
      <c r="C77" s="682"/>
      <c r="D77" s="682"/>
      <c r="E77" s="682"/>
      <c r="F77" s="682"/>
      <c r="G77" s="683"/>
      <c r="H77" s="683"/>
      <c r="I77" s="681"/>
      <c r="J77" s="684">
        <v>977.36</v>
      </c>
      <c r="K77" s="683"/>
      <c r="L77" s="68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</row>
    <row r="78" spans="1:1017" s="676" customFormat="1" x14ac:dyDescent="0.2">
      <c r="A78" s="682"/>
      <c r="B78" s="682" t="s">
        <v>617</v>
      </c>
      <c r="C78" s="682"/>
      <c r="D78" s="682"/>
      <c r="E78" s="682"/>
      <c r="F78" s="682"/>
      <c r="G78" s="683"/>
      <c r="H78" s="683"/>
      <c r="I78" s="681"/>
      <c r="J78" s="684">
        <v>620.23</v>
      </c>
      <c r="K78" s="683"/>
      <c r="L78" s="68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</row>
    <row r="79" spans="1:1017" s="676" customFormat="1" x14ac:dyDescent="0.2">
      <c r="A79" s="682"/>
      <c r="B79" s="682" t="s">
        <v>618</v>
      </c>
      <c r="C79" s="682"/>
      <c r="D79" s="682"/>
      <c r="E79" s="682"/>
      <c r="F79" s="682"/>
      <c r="G79" s="683"/>
      <c r="H79" s="683"/>
      <c r="I79" s="681"/>
      <c r="J79" s="684">
        <v>-4095.95</v>
      </c>
      <c r="K79" s="683"/>
      <c r="L79" s="681"/>
      <c r="M79" s="5" t="s">
        <v>619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</row>
    <row r="80" spans="1:1017" s="5" customFormat="1" ht="12.75" x14ac:dyDescent="0.2">
      <c r="A80" s="682"/>
      <c r="B80" s="682" t="s">
        <v>158</v>
      </c>
      <c r="C80" s="682"/>
      <c r="D80" s="682"/>
      <c r="E80" s="682"/>
      <c r="F80" s="682"/>
      <c r="G80" s="683">
        <v>12000</v>
      </c>
      <c r="H80" s="683">
        <v>11016.89</v>
      </c>
      <c r="I80" s="681"/>
      <c r="J80" s="684">
        <v>7845</v>
      </c>
      <c r="K80" s="683"/>
      <c r="L80" s="681"/>
    </row>
    <row r="81" spans="1:13" s="5" customFormat="1" ht="12.75" x14ac:dyDescent="0.2">
      <c r="A81" s="682"/>
      <c r="B81" s="682" t="s">
        <v>620</v>
      </c>
      <c r="C81" s="682"/>
      <c r="D81" s="682"/>
      <c r="E81" s="682"/>
      <c r="F81" s="682"/>
      <c r="G81" s="683"/>
      <c r="H81" s="683"/>
      <c r="I81" s="681"/>
      <c r="J81" s="684">
        <v>1233.3800000000001</v>
      </c>
      <c r="K81" s="683"/>
      <c r="L81" s="681"/>
      <c r="M81" s="5" t="s">
        <v>628</v>
      </c>
    </row>
    <row r="82" spans="1:13" s="5" customFormat="1" ht="12.75" x14ac:dyDescent="0.2">
      <c r="A82" s="682"/>
      <c r="B82" s="682" t="s">
        <v>621</v>
      </c>
      <c r="C82" s="682"/>
      <c r="D82" s="682"/>
      <c r="E82" s="682"/>
      <c r="F82" s="682"/>
      <c r="G82" s="683"/>
      <c r="H82" s="683"/>
      <c r="I82" s="681"/>
      <c r="J82" s="684">
        <v>73.239999999999995</v>
      </c>
      <c r="K82" s="683"/>
      <c r="L82" s="681"/>
    </row>
    <row r="83" spans="1:13" s="5" customFormat="1" ht="12.75" x14ac:dyDescent="0.2">
      <c r="A83" s="682"/>
      <c r="B83" s="682" t="s">
        <v>626</v>
      </c>
      <c r="C83" s="682"/>
      <c r="D83" s="682"/>
      <c r="E83" s="682"/>
      <c r="F83" s="682"/>
      <c r="G83" s="683"/>
      <c r="H83" s="683"/>
      <c r="I83" s="681"/>
      <c r="J83" s="684">
        <v>1662.81</v>
      </c>
      <c r="K83" s="683"/>
      <c r="L83" s="681"/>
    </row>
    <row r="84" spans="1:13" x14ac:dyDescent="0.2">
      <c r="A84" s="682"/>
      <c r="B84" s="682" t="s">
        <v>164</v>
      </c>
      <c r="C84" s="682"/>
      <c r="D84" s="682"/>
      <c r="E84" s="682"/>
      <c r="F84" s="682"/>
      <c r="G84" s="683">
        <v>2500</v>
      </c>
      <c r="H84" s="683">
        <v>1933.38</v>
      </c>
      <c r="I84" s="681"/>
      <c r="J84" s="687">
        <v>2203.71</v>
      </c>
      <c r="K84" s="683"/>
      <c r="L84" s="681"/>
    </row>
    <row r="85" spans="1:13" x14ac:dyDescent="0.2">
      <c r="A85" s="682"/>
      <c r="B85" s="682" t="s">
        <v>625</v>
      </c>
      <c r="C85" s="682"/>
      <c r="D85" s="682"/>
      <c r="E85" s="682"/>
      <c r="F85" s="682"/>
      <c r="G85" s="683">
        <v>3500</v>
      </c>
      <c r="H85" s="683">
        <v>3570.85</v>
      </c>
      <c r="I85" s="681"/>
      <c r="J85" s="684">
        <v>900</v>
      </c>
      <c r="K85" s="683"/>
      <c r="L85" s="681"/>
    </row>
    <row r="86" spans="1:13" x14ac:dyDescent="0.2">
      <c r="A86" s="682"/>
      <c r="B86" s="682" t="s">
        <v>373</v>
      </c>
      <c r="C86" s="682"/>
      <c r="D86" s="682"/>
      <c r="E86" s="682"/>
      <c r="F86" s="682"/>
      <c r="G86" s="683">
        <v>3000</v>
      </c>
      <c r="H86" s="683">
        <v>2582.5100000000002</v>
      </c>
      <c r="I86" s="681"/>
      <c r="J86" s="687">
        <v>150</v>
      </c>
      <c r="K86" s="683"/>
      <c r="L86" s="681"/>
    </row>
    <row r="87" spans="1:13" x14ac:dyDescent="0.2">
      <c r="A87" s="682"/>
      <c r="B87" s="682" t="s">
        <v>627</v>
      </c>
      <c r="C87" s="682"/>
      <c r="D87" s="682"/>
      <c r="E87" s="682"/>
      <c r="F87" s="682"/>
      <c r="G87" s="683">
        <v>0</v>
      </c>
      <c r="H87" s="683">
        <v>0</v>
      </c>
      <c r="I87" s="681"/>
      <c r="J87" s="687">
        <v>297</v>
      </c>
      <c r="K87" s="683"/>
      <c r="L87" s="681"/>
    </row>
    <row r="88" spans="1:13" x14ac:dyDescent="0.2">
      <c r="A88" s="682"/>
      <c r="B88" s="691" t="s">
        <v>179</v>
      </c>
      <c r="C88" s="691"/>
      <c r="D88" s="691"/>
      <c r="E88" s="691"/>
      <c r="F88" s="691"/>
      <c r="G88" s="692">
        <f t="shared" ref="G88:L88" si="5">SUM(G58:G87)</f>
        <v>110062.59999999999</v>
      </c>
      <c r="H88" s="692">
        <f t="shared" si="5"/>
        <v>99800.43</v>
      </c>
      <c r="I88" s="692">
        <f t="shared" si="5"/>
        <v>0</v>
      </c>
      <c r="J88" s="693">
        <f t="shared" si="5"/>
        <v>68022.11</v>
      </c>
      <c r="K88" s="692">
        <f t="shared" si="5"/>
        <v>0</v>
      </c>
      <c r="L88" s="694">
        <f t="shared" si="5"/>
        <v>7500</v>
      </c>
    </row>
    <row r="89" spans="1:13" ht="15" thickBot="1" x14ac:dyDescent="0.25">
      <c r="A89" s="764" t="s">
        <v>180</v>
      </c>
      <c r="B89" s="764"/>
      <c r="C89" s="764"/>
      <c r="D89" s="764"/>
      <c r="E89" s="764"/>
      <c r="F89" s="764"/>
      <c r="G89" s="764"/>
      <c r="H89" s="764"/>
      <c r="I89" s="764"/>
      <c r="J89" s="764"/>
      <c r="K89" s="764"/>
      <c r="L89" s="764"/>
    </row>
    <row r="90" spans="1:13" ht="15" thickBot="1" x14ac:dyDescent="0.25">
      <c r="A90" s="52"/>
      <c r="B90" s="52"/>
      <c r="C90" s="760">
        <v>2013</v>
      </c>
      <c r="D90" s="760"/>
      <c r="E90" s="765">
        <v>2014</v>
      </c>
      <c r="F90" s="765"/>
      <c r="G90" s="752">
        <v>2015</v>
      </c>
      <c r="H90" s="752"/>
      <c r="I90" s="752">
        <f>$I$2</f>
        <v>2019</v>
      </c>
      <c r="J90" s="752"/>
      <c r="K90" s="752"/>
      <c r="L90" s="761" t="str">
        <f>$L$2</f>
        <v>2020 Proposed</v>
      </c>
    </row>
    <row r="91" spans="1:13" s="16" customFormat="1" ht="13.5" customHeight="1" x14ac:dyDescent="0.2">
      <c r="A91" s="126" t="s">
        <v>2</v>
      </c>
      <c r="B91" s="126" t="s">
        <v>3</v>
      </c>
      <c r="C91" s="10" t="s">
        <v>4</v>
      </c>
      <c r="D91" s="10" t="s">
        <v>5</v>
      </c>
      <c r="E91" s="10" t="s">
        <v>4</v>
      </c>
      <c r="F91" s="10" t="s">
        <v>5</v>
      </c>
      <c r="G91" s="68" t="s">
        <v>6</v>
      </c>
      <c r="H91" s="69" t="s">
        <v>4</v>
      </c>
      <c r="I91" s="68" t="s">
        <v>6</v>
      </c>
      <c r="J91" s="688" t="str">
        <f>$J$3</f>
        <v>As of 10/31</v>
      </c>
      <c r="K91" s="69" t="s">
        <v>8</v>
      </c>
      <c r="L91" s="758"/>
    </row>
    <row r="92" spans="1:13" x14ac:dyDescent="0.2">
      <c r="A92" s="677"/>
      <c r="B92" s="677" t="s">
        <v>629</v>
      </c>
      <c r="C92" s="677"/>
      <c r="D92" s="677"/>
      <c r="E92" s="677"/>
      <c r="F92" s="677"/>
      <c r="G92" s="678">
        <v>33662</v>
      </c>
      <c r="H92" s="678">
        <v>33662</v>
      </c>
      <c r="I92" s="722"/>
      <c r="J92" s="680">
        <v>9494.98</v>
      </c>
      <c r="K92" s="678"/>
      <c r="L92" s="722"/>
    </row>
    <row r="93" spans="1:13" x14ac:dyDescent="0.2">
      <c r="A93" s="677"/>
      <c r="B93" s="677" t="s">
        <v>630</v>
      </c>
      <c r="C93" s="677"/>
      <c r="D93" s="677"/>
      <c r="E93" s="677"/>
      <c r="F93" s="677"/>
      <c r="G93" s="678">
        <v>4850</v>
      </c>
      <c r="H93" s="678">
        <v>4857.68</v>
      </c>
      <c r="I93" s="722"/>
      <c r="J93" s="680">
        <v>20359.849999999999</v>
      </c>
      <c r="K93" s="678"/>
      <c r="L93" s="723"/>
    </row>
    <row r="94" spans="1:13" x14ac:dyDescent="0.2">
      <c r="A94" s="682"/>
      <c r="B94" s="682" t="s">
        <v>631</v>
      </c>
      <c r="C94" s="682"/>
      <c r="D94" s="682"/>
      <c r="E94" s="682"/>
      <c r="F94" s="682"/>
      <c r="G94" s="683">
        <v>14336</v>
      </c>
      <c r="H94" s="683">
        <v>14396</v>
      </c>
      <c r="I94" s="690"/>
      <c r="J94" s="687"/>
      <c r="K94" s="683"/>
      <c r="L94" s="724"/>
    </row>
    <row r="95" spans="1:13" ht="15" thickBot="1" x14ac:dyDescent="0.25">
      <c r="A95" s="708"/>
      <c r="B95" s="709" t="s">
        <v>193</v>
      </c>
      <c r="C95" s="710"/>
      <c r="D95" s="711"/>
      <c r="E95" s="711"/>
      <c r="F95" s="712"/>
      <c r="G95" s="685">
        <f t="shared" ref="G95:L95" si="6">SUM(G92:G94)</f>
        <v>52848</v>
      </c>
      <c r="H95" s="686">
        <f t="shared" si="6"/>
        <v>52915.68</v>
      </c>
      <c r="I95" s="685">
        <f t="shared" si="6"/>
        <v>0</v>
      </c>
      <c r="J95" s="713">
        <f t="shared" si="6"/>
        <v>29854.829999999998</v>
      </c>
      <c r="K95" s="686">
        <f t="shared" si="6"/>
        <v>0</v>
      </c>
      <c r="L95" s="245">
        <f t="shared" si="6"/>
        <v>0</v>
      </c>
    </row>
    <row r="96" spans="1:13" x14ac:dyDescent="0.2">
      <c r="A96" s="10"/>
      <c r="B96" s="10"/>
      <c r="C96" s="10"/>
      <c r="D96" s="10"/>
      <c r="E96" s="10"/>
      <c r="F96" s="10"/>
      <c r="G96" s="10"/>
      <c r="H96" s="10"/>
      <c r="I96" s="10"/>
      <c r="J96" s="622"/>
      <c r="K96" s="10"/>
      <c r="L96" s="206"/>
    </row>
    <row r="97" spans="1:1017" ht="15" thickBot="1" x14ac:dyDescent="0.25">
      <c r="A97" s="764" t="s">
        <v>194</v>
      </c>
      <c r="B97" s="764"/>
      <c r="C97" s="764"/>
      <c r="D97" s="764"/>
      <c r="E97" s="764"/>
      <c r="F97" s="764"/>
      <c r="G97" s="764"/>
      <c r="H97" s="764"/>
      <c r="I97" s="764"/>
      <c r="J97" s="764"/>
      <c r="K97" s="764"/>
      <c r="L97" s="764"/>
    </row>
    <row r="98" spans="1:1017" ht="14.25" customHeight="1" thickBot="1" x14ac:dyDescent="0.25">
      <c r="A98" s="52"/>
      <c r="B98" s="52"/>
      <c r="C98" s="760">
        <v>2013</v>
      </c>
      <c r="D98" s="760"/>
      <c r="E98" s="765">
        <v>2014</v>
      </c>
      <c r="F98" s="765"/>
      <c r="G98" s="752">
        <v>2015</v>
      </c>
      <c r="H98" s="752"/>
      <c r="I98" s="752">
        <f>$I$2</f>
        <v>2019</v>
      </c>
      <c r="J98" s="752"/>
      <c r="K98" s="752"/>
      <c r="L98" s="761" t="str">
        <f>$L$2</f>
        <v>2020 Proposed</v>
      </c>
    </row>
    <row r="99" spans="1:1017" s="16" customFormat="1" ht="13.5" customHeight="1" x14ac:dyDescent="0.2">
      <c r="A99" s="126" t="s">
        <v>2</v>
      </c>
      <c r="B99" s="126" t="s">
        <v>3</v>
      </c>
      <c r="C99" s="10" t="s">
        <v>4</v>
      </c>
      <c r="D99" s="10" t="s">
        <v>5</v>
      </c>
      <c r="E99" s="10" t="s">
        <v>4</v>
      </c>
      <c r="F99" s="10" t="s">
        <v>5</v>
      </c>
      <c r="G99" s="68" t="s">
        <v>6</v>
      </c>
      <c r="H99" s="69" t="s">
        <v>4</v>
      </c>
      <c r="I99" s="68" t="s">
        <v>6</v>
      </c>
      <c r="J99" s="688" t="str">
        <f>$J$3</f>
        <v>As of 10/31</v>
      </c>
      <c r="K99" s="69" t="s">
        <v>8</v>
      </c>
      <c r="L99" s="758"/>
    </row>
    <row r="100" spans="1:1017" x14ac:dyDescent="0.2">
      <c r="A100" s="677"/>
      <c r="B100" s="677" t="s">
        <v>196</v>
      </c>
      <c r="C100" s="677"/>
      <c r="D100" s="677"/>
      <c r="E100" s="677"/>
      <c r="F100" s="677"/>
      <c r="G100" s="796">
        <v>67500</v>
      </c>
      <c r="H100" s="714">
        <v>54184</v>
      </c>
      <c r="I100" s="715"/>
      <c r="J100" s="716">
        <v>59129.37</v>
      </c>
      <c r="K100" s="714"/>
      <c r="L100" s="715"/>
    </row>
    <row r="101" spans="1:1017" x14ac:dyDescent="0.2">
      <c r="A101" s="717"/>
      <c r="B101" s="682" t="s">
        <v>198</v>
      </c>
      <c r="C101" s="682"/>
      <c r="D101" s="682"/>
      <c r="E101" s="682"/>
      <c r="F101" s="682"/>
      <c r="G101" s="796"/>
      <c r="H101" s="718">
        <v>3717</v>
      </c>
      <c r="I101" s="719"/>
      <c r="J101" s="720"/>
      <c r="K101" s="718"/>
      <c r="L101" s="719"/>
    </row>
    <row r="102" spans="1:1017" x14ac:dyDescent="0.2">
      <c r="A102" s="682"/>
      <c r="B102" s="682" t="s">
        <v>200</v>
      </c>
      <c r="C102" s="682"/>
      <c r="D102" s="682"/>
      <c r="E102" s="682"/>
      <c r="F102" s="682"/>
      <c r="G102" s="718">
        <v>5202</v>
      </c>
      <c r="H102" s="718">
        <v>4429.4399999999996</v>
      </c>
      <c r="I102" s="681"/>
      <c r="J102" s="721">
        <v>4523.3900000000003</v>
      </c>
      <c r="K102" s="718"/>
      <c r="L102" s="681"/>
    </row>
    <row r="103" spans="1:1017" s="676" customFormat="1" x14ac:dyDescent="0.2">
      <c r="A103" s="682"/>
      <c r="B103" s="682" t="s">
        <v>634</v>
      </c>
      <c r="C103" s="682"/>
      <c r="D103" s="682"/>
      <c r="E103" s="682"/>
      <c r="F103" s="682"/>
      <c r="G103" s="718"/>
      <c r="H103" s="718"/>
      <c r="I103" s="681"/>
      <c r="J103" s="721">
        <v>394.05</v>
      </c>
      <c r="K103" s="718"/>
      <c r="L103" s="68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</row>
    <row r="104" spans="1:1017" s="676" customFormat="1" x14ac:dyDescent="0.2">
      <c r="A104" s="682"/>
      <c r="B104" s="682" t="s">
        <v>635</v>
      </c>
      <c r="C104" s="682"/>
      <c r="D104" s="682"/>
      <c r="E104" s="682"/>
      <c r="F104" s="682"/>
      <c r="G104" s="718"/>
      <c r="H104" s="718"/>
      <c r="I104" s="681"/>
      <c r="J104" s="721">
        <v>2310</v>
      </c>
      <c r="K104" s="718"/>
      <c r="L104" s="68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  <c r="MH104" s="5"/>
      <c r="MI104" s="5"/>
      <c r="MJ104" s="5"/>
      <c r="MK104" s="5"/>
      <c r="ML104" s="5"/>
      <c r="MM104" s="5"/>
      <c r="MN104" s="5"/>
      <c r="MO104" s="5"/>
      <c r="MP104" s="5"/>
      <c r="MQ104" s="5"/>
      <c r="MR104" s="5"/>
      <c r="MS104" s="5"/>
      <c r="MT104" s="5"/>
      <c r="MU104" s="5"/>
      <c r="MV104" s="5"/>
      <c r="MW104" s="5"/>
      <c r="MX104" s="5"/>
      <c r="MY104" s="5"/>
      <c r="MZ104" s="5"/>
      <c r="NA104" s="5"/>
      <c r="NB104" s="5"/>
      <c r="NC104" s="5"/>
      <c r="ND104" s="5"/>
      <c r="NE104" s="5"/>
      <c r="NF104" s="5"/>
      <c r="NG104" s="5"/>
      <c r="NH104" s="5"/>
      <c r="NI104" s="5"/>
      <c r="NJ104" s="5"/>
      <c r="NK104" s="5"/>
      <c r="NL104" s="5"/>
      <c r="NM104" s="5"/>
      <c r="NN104" s="5"/>
      <c r="NO104" s="5"/>
      <c r="NP104" s="5"/>
      <c r="NQ104" s="5"/>
      <c r="NR104" s="5"/>
      <c r="NS104" s="5"/>
      <c r="NT104" s="5"/>
      <c r="NU104" s="5"/>
      <c r="NV104" s="5"/>
      <c r="NW104" s="5"/>
      <c r="NX104" s="5"/>
      <c r="NY104" s="5"/>
      <c r="NZ104" s="5"/>
      <c r="OA104" s="5"/>
      <c r="OB104" s="5"/>
      <c r="OC104" s="5"/>
      <c r="OD104" s="5"/>
      <c r="OE104" s="5"/>
      <c r="OF104" s="5"/>
      <c r="OG104" s="5"/>
      <c r="OH104" s="5"/>
      <c r="OI104" s="5"/>
      <c r="OJ104" s="5"/>
      <c r="OK104" s="5"/>
      <c r="OL104" s="5"/>
      <c r="OM104" s="5"/>
      <c r="ON104" s="5"/>
      <c r="OO104" s="5"/>
      <c r="OP104" s="5"/>
      <c r="OQ104" s="5"/>
      <c r="OR104" s="5"/>
      <c r="OS104" s="5"/>
      <c r="OT104" s="5"/>
      <c r="OU104" s="5"/>
      <c r="OV104" s="5"/>
      <c r="OW104" s="5"/>
      <c r="OX104" s="5"/>
      <c r="OY104" s="5"/>
      <c r="OZ104" s="5"/>
      <c r="PA104" s="5"/>
      <c r="PB104" s="5"/>
      <c r="PC104" s="5"/>
      <c r="PD104" s="5"/>
      <c r="PE104" s="5"/>
      <c r="PF104" s="5"/>
      <c r="PG104" s="5"/>
      <c r="PH104" s="5"/>
      <c r="PI104" s="5"/>
      <c r="PJ104" s="5"/>
      <c r="PK104" s="5"/>
      <c r="PL104" s="5"/>
      <c r="PM104" s="5"/>
      <c r="PN104" s="5"/>
      <c r="PO104" s="5"/>
      <c r="PP104" s="5"/>
      <c r="PQ104" s="5"/>
      <c r="PR104" s="5"/>
      <c r="PS104" s="5"/>
      <c r="PT104" s="5"/>
      <c r="PU104" s="5"/>
      <c r="PV104" s="5"/>
      <c r="PW104" s="5"/>
      <c r="PX104" s="5"/>
      <c r="PY104" s="5"/>
      <c r="PZ104" s="5"/>
      <c r="QA104" s="5"/>
      <c r="QB104" s="5"/>
      <c r="QC104" s="5"/>
      <c r="QD104" s="5"/>
      <c r="QE104" s="5"/>
      <c r="QF104" s="5"/>
      <c r="QG104" s="5"/>
      <c r="QH104" s="5"/>
      <c r="QI104" s="5"/>
      <c r="QJ104" s="5"/>
      <c r="QK104" s="5"/>
      <c r="QL104" s="5"/>
      <c r="QM104" s="5"/>
      <c r="QN104" s="5"/>
      <c r="QO104" s="5"/>
      <c r="QP104" s="5"/>
      <c r="QQ104" s="5"/>
      <c r="QR104" s="5"/>
      <c r="QS104" s="5"/>
      <c r="QT104" s="5"/>
      <c r="QU104" s="5"/>
      <c r="QV104" s="5"/>
      <c r="QW104" s="5"/>
      <c r="QX104" s="5"/>
      <c r="QY104" s="5"/>
      <c r="QZ104" s="5"/>
      <c r="RA104" s="5"/>
      <c r="RB104" s="5"/>
      <c r="RC104" s="5"/>
      <c r="RD104" s="5"/>
      <c r="RE104" s="5"/>
      <c r="RF104" s="5"/>
      <c r="RG104" s="5"/>
      <c r="RH104" s="5"/>
      <c r="RI104" s="5"/>
      <c r="RJ104" s="5"/>
      <c r="RK104" s="5"/>
      <c r="RL104" s="5"/>
      <c r="RM104" s="5"/>
      <c r="RN104" s="5"/>
      <c r="RO104" s="5"/>
      <c r="RP104" s="5"/>
      <c r="RQ104" s="5"/>
      <c r="RR104" s="5"/>
      <c r="RS104" s="5"/>
      <c r="RT104" s="5"/>
      <c r="RU104" s="5"/>
      <c r="RV104" s="5"/>
      <c r="RW104" s="5"/>
      <c r="RX104" s="5"/>
      <c r="RY104" s="5"/>
      <c r="RZ104" s="5"/>
      <c r="SA104" s="5"/>
      <c r="SB104" s="5"/>
      <c r="SC104" s="5"/>
      <c r="SD104" s="5"/>
      <c r="SE104" s="5"/>
      <c r="SF104" s="5"/>
      <c r="SG104" s="5"/>
      <c r="SH104" s="5"/>
      <c r="SI104" s="5"/>
      <c r="SJ104" s="5"/>
      <c r="SK104" s="5"/>
      <c r="SL104" s="5"/>
      <c r="SM104" s="5"/>
      <c r="SN104" s="5"/>
      <c r="SO104" s="5"/>
      <c r="SP104" s="5"/>
      <c r="SQ104" s="5"/>
      <c r="SR104" s="5"/>
      <c r="SS104" s="5"/>
      <c r="ST104" s="5"/>
      <c r="SU104" s="5"/>
      <c r="SV104" s="5"/>
      <c r="SW104" s="5"/>
      <c r="SX104" s="5"/>
      <c r="SY104" s="5"/>
      <c r="SZ104" s="5"/>
      <c r="TA104" s="5"/>
      <c r="TB104" s="5"/>
      <c r="TC104" s="5"/>
      <c r="TD104" s="5"/>
      <c r="TE104" s="5"/>
      <c r="TF104" s="5"/>
      <c r="TG104" s="5"/>
      <c r="TH104" s="5"/>
      <c r="TI104" s="5"/>
      <c r="TJ104" s="5"/>
      <c r="TK104" s="5"/>
      <c r="TL104" s="5"/>
      <c r="TM104" s="5"/>
      <c r="TN104" s="5"/>
      <c r="TO104" s="5"/>
      <c r="TP104" s="5"/>
      <c r="TQ104" s="5"/>
      <c r="TR104" s="5"/>
      <c r="TS104" s="5"/>
      <c r="TT104" s="5"/>
      <c r="TU104" s="5"/>
      <c r="TV104" s="5"/>
      <c r="TW104" s="5"/>
      <c r="TX104" s="5"/>
      <c r="TY104" s="5"/>
      <c r="TZ104" s="5"/>
      <c r="UA104" s="5"/>
      <c r="UB104" s="5"/>
      <c r="UC104" s="5"/>
      <c r="UD104" s="5"/>
      <c r="UE104" s="5"/>
      <c r="UF104" s="5"/>
      <c r="UG104" s="5"/>
      <c r="UH104" s="5"/>
      <c r="UI104" s="5"/>
      <c r="UJ104" s="5"/>
      <c r="UK104" s="5"/>
      <c r="UL104" s="5"/>
      <c r="UM104" s="5"/>
      <c r="UN104" s="5"/>
      <c r="UO104" s="5"/>
      <c r="UP104" s="5"/>
      <c r="UQ104" s="5"/>
      <c r="UR104" s="5"/>
      <c r="US104" s="5"/>
      <c r="UT104" s="5"/>
      <c r="UU104" s="5"/>
      <c r="UV104" s="5"/>
      <c r="UW104" s="5"/>
      <c r="UX104" s="5"/>
      <c r="UY104" s="5"/>
      <c r="UZ104" s="5"/>
      <c r="VA104" s="5"/>
      <c r="VB104" s="5"/>
      <c r="VC104" s="5"/>
      <c r="VD104" s="5"/>
      <c r="VE104" s="5"/>
      <c r="VF104" s="5"/>
      <c r="VG104" s="5"/>
      <c r="VH104" s="5"/>
      <c r="VI104" s="5"/>
      <c r="VJ104" s="5"/>
      <c r="VK104" s="5"/>
      <c r="VL104" s="5"/>
      <c r="VM104" s="5"/>
      <c r="VN104" s="5"/>
      <c r="VO104" s="5"/>
      <c r="VP104" s="5"/>
      <c r="VQ104" s="5"/>
      <c r="VR104" s="5"/>
      <c r="VS104" s="5"/>
      <c r="VT104" s="5"/>
      <c r="VU104" s="5"/>
      <c r="VV104" s="5"/>
      <c r="VW104" s="5"/>
      <c r="VX104" s="5"/>
      <c r="VY104" s="5"/>
      <c r="VZ104" s="5"/>
      <c r="WA104" s="5"/>
      <c r="WB104" s="5"/>
      <c r="WC104" s="5"/>
      <c r="WD104" s="5"/>
      <c r="WE104" s="5"/>
      <c r="WF104" s="5"/>
      <c r="WG104" s="5"/>
      <c r="WH104" s="5"/>
      <c r="WI104" s="5"/>
      <c r="WJ104" s="5"/>
      <c r="WK104" s="5"/>
      <c r="WL104" s="5"/>
      <c r="WM104" s="5"/>
      <c r="WN104" s="5"/>
      <c r="WO104" s="5"/>
      <c r="WP104" s="5"/>
      <c r="WQ104" s="5"/>
      <c r="WR104" s="5"/>
      <c r="WS104" s="5"/>
      <c r="WT104" s="5"/>
      <c r="WU104" s="5"/>
      <c r="WV104" s="5"/>
      <c r="WW104" s="5"/>
      <c r="WX104" s="5"/>
      <c r="WY104" s="5"/>
      <c r="WZ104" s="5"/>
      <c r="XA104" s="5"/>
      <c r="XB104" s="5"/>
      <c r="XC104" s="5"/>
      <c r="XD104" s="5"/>
      <c r="XE104" s="5"/>
      <c r="XF104" s="5"/>
      <c r="XG104" s="5"/>
      <c r="XH104" s="5"/>
      <c r="XI104" s="5"/>
      <c r="XJ104" s="5"/>
      <c r="XK104" s="5"/>
      <c r="XL104" s="5"/>
      <c r="XM104" s="5"/>
      <c r="XN104" s="5"/>
      <c r="XO104" s="5"/>
      <c r="XP104" s="5"/>
      <c r="XQ104" s="5"/>
      <c r="XR104" s="5"/>
      <c r="XS104" s="5"/>
      <c r="XT104" s="5"/>
      <c r="XU104" s="5"/>
      <c r="XV104" s="5"/>
      <c r="XW104" s="5"/>
      <c r="XX104" s="5"/>
      <c r="XY104" s="5"/>
      <c r="XZ104" s="5"/>
      <c r="YA104" s="5"/>
      <c r="YB104" s="5"/>
      <c r="YC104" s="5"/>
      <c r="YD104" s="5"/>
      <c r="YE104" s="5"/>
      <c r="YF104" s="5"/>
      <c r="YG104" s="5"/>
      <c r="YH104" s="5"/>
      <c r="YI104" s="5"/>
      <c r="YJ104" s="5"/>
      <c r="YK104" s="5"/>
      <c r="YL104" s="5"/>
      <c r="YM104" s="5"/>
      <c r="YN104" s="5"/>
      <c r="YO104" s="5"/>
      <c r="YP104" s="5"/>
      <c r="YQ104" s="5"/>
      <c r="YR104" s="5"/>
      <c r="YS104" s="5"/>
      <c r="YT104" s="5"/>
      <c r="YU104" s="5"/>
      <c r="YV104" s="5"/>
      <c r="YW104" s="5"/>
      <c r="YX104" s="5"/>
      <c r="YY104" s="5"/>
      <c r="YZ104" s="5"/>
      <c r="ZA104" s="5"/>
      <c r="ZB104" s="5"/>
      <c r="ZC104" s="5"/>
      <c r="ZD104" s="5"/>
      <c r="ZE104" s="5"/>
      <c r="ZF104" s="5"/>
      <c r="ZG104" s="5"/>
      <c r="ZH104" s="5"/>
      <c r="ZI104" s="5"/>
      <c r="ZJ104" s="5"/>
      <c r="ZK104" s="5"/>
      <c r="ZL104" s="5"/>
      <c r="ZM104" s="5"/>
      <c r="ZN104" s="5"/>
      <c r="ZO104" s="5"/>
      <c r="ZP104" s="5"/>
      <c r="ZQ104" s="5"/>
      <c r="ZR104" s="5"/>
      <c r="ZS104" s="5"/>
      <c r="ZT104" s="5"/>
      <c r="ZU104" s="5"/>
      <c r="ZV104" s="5"/>
      <c r="ZW104" s="5"/>
      <c r="ZX104" s="5"/>
      <c r="ZY104" s="5"/>
      <c r="ZZ104" s="5"/>
      <c r="AAA104" s="5"/>
      <c r="AAB104" s="5"/>
      <c r="AAC104" s="5"/>
      <c r="AAD104" s="5"/>
      <c r="AAE104" s="5"/>
      <c r="AAF104" s="5"/>
      <c r="AAG104" s="5"/>
      <c r="AAH104" s="5"/>
      <c r="AAI104" s="5"/>
      <c r="AAJ104" s="5"/>
      <c r="AAK104" s="5"/>
      <c r="AAL104" s="5"/>
      <c r="AAM104" s="5"/>
      <c r="AAN104" s="5"/>
      <c r="AAO104" s="5"/>
      <c r="AAP104" s="5"/>
      <c r="AAQ104" s="5"/>
      <c r="AAR104" s="5"/>
      <c r="AAS104" s="5"/>
      <c r="AAT104" s="5"/>
      <c r="AAU104" s="5"/>
      <c r="AAV104" s="5"/>
      <c r="AAW104" s="5"/>
      <c r="AAX104" s="5"/>
      <c r="AAY104" s="5"/>
      <c r="AAZ104" s="5"/>
      <c r="ABA104" s="5"/>
      <c r="ABB104" s="5"/>
      <c r="ABC104" s="5"/>
      <c r="ABD104" s="5"/>
      <c r="ABE104" s="5"/>
      <c r="ABF104" s="5"/>
      <c r="ABG104" s="5"/>
      <c r="ABH104" s="5"/>
      <c r="ABI104" s="5"/>
      <c r="ABJ104" s="5"/>
      <c r="ABK104" s="5"/>
      <c r="ABL104" s="5"/>
      <c r="ABM104" s="5"/>
      <c r="ABN104" s="5"/>
      <c r="ABO104" s="5"/>
      <c r="ABP104" s="5"/>
      <c r="ABQ104" s="5"/>
      <c r="ABR104" s="5"/>
      <c r="ABS104" s="5"/>
      <c r="ABT104" s="5"/>
      <c r="ABU104" s="5"/>
      <c r="ABV104" s="5"/>
      <c r="ABW104" s="5"/>
      <c r="ABX104" s="5"/>
      <c r="ABY104" s="5"/>
      <c r="ABZ104" s="5"/>
      <c r="ACA104" s="5"/>
      <c r="ACB104" s="5"/>
      <c r="ACC104" s="5"/>
      <c r="ACD104" s="5"/>
      <c r="ACE104" s="5"/>
      <c r="ACF104" s="5"/>
      <c r="ACG104" s="5"/>
      <c r="ACH104" s="5"/>
      <c r="ACI104" s="5"/>
      <c r="ACJ104" s="5"/>
      <c r="ACK104" s="5"/>
      <c r="ACL104" s="5"/>
      <c r="ACM104" s="5"/>
      <c r="ACN104" s="5"/>
      <c r="ACO104" s="5"/>
      <c r="ACP104" s="5"/>
      <c r="ACQ104" s="5"/>
      <c r="ACR104" s="5"/>
      <c r="ACS104" s="5"/>
      <c r="ACT104" s="5"/>
      <c r="ACU104" s="5"/>
      <c r="ACV104" s="5"/>
      <c r="ACW104" s="5"/>
      <c r="ACX104" s="5"/>
      <c r="ACY104" s="5"/>
      <c r="ACZ104" s="5"/>
      <c r="ADA104" s="5"/>
      <c r="ADB104" s="5"/>
      <c r="ADC104" s="5"/>
      <c r="ADD104" s="5"/>
      <c r="ADE104" s="5"/>
      <c r="ADF104" s="5"/>
      <c r="ADG104" s="5"/>
      <c r="ADH104" s="5"/>
      <c r="ADI104" s="5"/>
      <c r="ADJ104" s="5"/>
      <c r="ADK104" s="5"/>
      <c r="ADL104" s="5"/>
      <c r="ADM104" s="5"/>
      <c r="ADN104" s="5"/>
      <c r="ADO104" s="5"/>
      <c r="ADP104" s="5"/>
      <c r="ADQ104" s="5"/>
      <c r="ADR104" s="5"/>
      <c r="ADS104" s="5"/>
      <c r="ADT104" s="5"/>
      <c r="ADU104" s="5"/>
      <c r="ADV104" s="5"/>
      <c r="ADW104" s="5"/>
      <c r="ADX104" s="5"/>
      <c r="ADY104" s="5"/>
      <c r="ADZ104" s="5"/>
      <c r="AEA104" s="5"/>
      <c r="AEB104" s="5"/>
      <c r="AEC104" s="5"/>
      <c r="AED104" s="5"/>
      <c r="AEE104" s="5"/>
      <c r="AEF104" s="5"/>
      <c r="AEG104" s="5"/>
      <c r="AEH104" s="5"/>
      <c r="AEI104" s="5"/>
      <c r="AEJ104" s="5"/>
      <c r="AEK104" s="5"/>
      <c r="AEL104" s="5"/>
      <c r="AEM104" s="5"/>
      <c r="AEN104" s="5"/>
      <c r="AEO104" s="5"/>
      <c r="AEP104" s="5"/>
      <c r="AEQ104" s="5"/>
      <c r="AER104" s="5"/>
      <c r="AES104" s="5"/>
      <c r="AET104" s="5"/>
      <c r="AEU104" s="5"/>
      <c r="AEV104" s="5"/>
      <c r="AEW104" s="5"/>
      <c r="AEX104" s="5"/>
      <c r="AEY104" s="5"/>
      <c r="AEZ104" s="5"/>
      <c r="AFA104" s="5"/>
      <c r="AFB104" s="5"/>
      <c r="AFC104" s="5"/>
      <c r="AFD104" s="5"/>
      <c r="AFE104" s="5"/>
      <c r="AFF104" s="5"/>
      <c r="AFG104" s="5"/>
      <c r="AFH104" s="5"/>
      <c r="AFI104" s="5"/>
      <c r="AFJ104" s="5"/>
      <c r="AFK104" s="5"/>
      <c r="AFL104" s="5"/>
      <c r="AFM104" s="5"/>
      <c r="AFN104" s="5"/>
      <c r="AFO104" s="5"/>
      <c r="AFP104" s="5"/>
      <c r="AFQ104" s="5"/>
      <c r="AFR104" s="5"/>
      <c r="AFS104" s="5"/>
      <c r="AFT104" s="5"/>
      <c r="AFU104" s="5"/>
      <c r="AFV104" s="5"/>
      <c r="AFW104" s="5"/>
      <c r="AFX104" s="5"/>
      <c r="AFY104" s="5"/>
      <c r="AFZ104" s="5"/>
      <c r="AGA104" s="5"/>
      <c r="AGB104" s="5"/>
      <c r="AGC104" s="5"/>
      <c r="AGD104" s="5"/>
      <c r="AGE104" s="5"/>
      <c r="AGF104" s="5"/>
      <c r="AGG104" s="5"/>
      <c r="AGH104" s="5"/>
      <c r="AGI104" s="5"/>
      <c r="AGJ104" s="5"/>
      <c r="AGK104" s="5"/>
      <c r="AGL104" s="5"/>
      <c r="AGM104" s="5"/>
      <c r="AGN104" s="5"/>
      <c r="AGO104" s="5"/>
      <c r="AGP104" s="5"/>
      <c r="AGQ104" s="5"/>
      <c r="AGR104" s="5"/>
      <c r="AGS104" s="5"/>
      <c r="AGT104" s="5"/>
      <c r="AGU104" s="5"/>
      <c r="AGV104" s="5"/>
      <c r="AGW104" s="5"/>
      <c r="AGX104" s="5"/>
      <c r="AGY104" s="5"/>
      <c r="AGZ104" s="5"/>
      <c r="AHA104" s="5"/>
      <c r="AHB104" s="5"/>
      <c r="AHC104" s="5"/>
      <c r="AHD104" s="5"/>
      <c r="AHE104" s="5"/>
      <c r="AHF104" s="5"/>
      <c r="AHG104" s="5"/>
      <c r="AHH104" s="5"/>
      <c r="AHI104" s="5"/>
      <c r="AHJ104" s="5"/>
      <c r="AHK104" s="5"/>
      <c r="AHL104" s="5"/>
      <c r="AHM104" s="5"/>
      <c r="AHN104" s="5"/>
      <c r="AHO104" s="5"/>
      <c r="AHP104" s="5"/>
      <c r="AHQ104" s="5"/>
      <c r="AHR104" s="5"/>
      <c r="AHS104" s="5"/>
      <c r="AHT104" s="5"/>
      <c r="AHU104" s="5"/>
      <c r="AHV104" s="5"/>
      <c r="AHW104" s="5"/>
      <c r="AHX104" s="5"/>
      <c r="AHY104" s="5"/>
      <c r="AHZ104" s="5"/>
      <c r="AIA104" s="5"/>
      <c r="AIB104" s="5"/>
      <c r="AIC104" s="5"/>
      <c r="AID104" s="5"/>
      <c r="AIE104" s="5"/>
      <c r="AIF104" s="5"/>
      <c r="AIG104" s="5"/>
      <c r="AIH104" s="5"/>
      <c r="AII104" s="5"/>
      <c r="AIJ104" s="5"/>
      <c r="AIK104" s="5"/>
      <c r="AIL104" s="5"/>
      <c r="AIM104" s="5"/>
      <c r="AIN104" s="5"/>
      <c r="AIO104" s="5"/>
      <c r="AIP104" s="5"/>
      <c r="AIQ104" s="5"/>
      <c r="AIR104" s="5"/>
      <c r="AIS104" s="5"/>
      <c r="AIT104" s="5"/>
      <c r="AIU104" s="5"/>
      <c r="AIV104" s="5"/>
      <c r="AIW104" s="5"/>
      <c r="AIX104" s="5"/>
      <c r="AIY104" s="5"/>
      <c r="AIZ104" s="5"/>
      <c r="AJA104" s="5"/>
      <c r="AJB104" s="5"/>
      <c r="AJC104" s="5"/>
      <c r="AJD104" s="5"/>
      <c r="AJE104" s="5"/>
      <c r="AJF104" s="5"/>
      <c r="AJG104" s="5"/>
      <c r="AJH104" s="5"/>
      <c r="AJI104" s="5"/>
      <c r="AJJ104" s="5"/>
      <c r="AJK104" s="5"/>
      <c r="AJL104" s="5"/>
      <c r="AJM104" s="5"/>
      <c r="AJN104" s="5"/>
      <c r="AJO104" s="5"/>
      <c r="AJP104" s="5"/>
      <c r="AJQ104" s="5"/>
      <c r="AJR104" s="5"/>
      <c r="AJS104" s="5"/>
      <c r="AJT104" s="5"/>
      <c r="AJU104" s="5"/>
      <c r="AJV104" s="5"/>
      <c r="AJW104" s="5"/>
      <c r="AJX104" s="5"/>
      <c r="AJY104" s="5"/>
      <c r="AJZ104" s="5"/>
      <c r="AKA104" s="5"/>
      <c r="AKB104" s="5"/>
      <c r="AKC104" s="5"/>
      <c r="AKD104" s="5"/>
      <c r="AKE104" s="5"/>
      <c r="AKF104" s="5"/>
      <c r="AKG104" s="5"/>
      <c r="AKH104" s="5"/>
      <c r="AKI104" s="5"/>
      <c r="AKJ104" s="5"/>
      <c r="AKK104" s="5"/>
      <c r="AKL104" s="5"/>
      <c r="AKM104" s="5"/>
      <c r="AKN104" s="5"/>
      <c r="AKO104" s="5"/>
      <c r="AKP104" s="5"/>
      <c r="AKQ104" s="5"/>
      <c r="AKR104" s="5"/>
      <c r="AKS104" s="5"/>
      <c r="AKT104" s="5"/>
      <c r="AKU104" s="5"/>
      <c r="AKV104" s="5"/>
      <c r="AKW104" s="5"/>
      <c r="AKX104" s="5"/>
      <c r="AKY104" s="5"/>
      <c r="AKZ104" s="5"/>
      <c r="ALA104" s="5"/>
      <c r="ALB104" s="5"/>
      <c r="ALC104" s="5"/>
      <c r="ALD104" s="5"/>
      <c r="ALE104" s="5"/>
      <c r="ALF104" s="5"/>
      <c r="ALG104" s="5"/>
      <c r="ALH104" s="5"/>
      <c r="ALI104" s="5"/>
      <c r="ALJ104" s="5"/>
      <c r="ALK104" s="5"/>
      <c r="ALL104" s="5"/>
      <c r="ALM104" s="5"/>
      <c r="ALN104" s="5"/>
      <c r="ALO104" s="5"/>
      <c r="ALP104" s="5"/>
      <c r="ALQ104" s="5"/>
      <c r="ALR104" s="5"/>
      <c r="ALS104" s="5"/>
      <c r="ALT104" s="5"/>
      <c r="ALU104" s="5"/>
      <c r="ALV104" s="5"/>
      <c r="ALW104" s="5"/>
      <c r="ALX104" s="5"/>
      <c r="ALY104" s="5"/>
      <c r="ALZ104" s="5"/>
      <c r="AMA104" s="5"/>
      <c r="AMB104" s="5"/>
      <c r="AMC104" s="5"/>
    </row>
    <row r="105" spans="1:1017" s="676" customFormat="1" x14ac:dyDescent="0.2">
      <c r="A105" s="682"/>
      <c r="B105" s="682" t="s">
        <v>633</v>
      </c>
      <c r="C105" s="682"/>
      <c r="D105" s="682"/>
      <c r="E105" s="682"/>
      <c r="F105" s="682"/>
      <c r="G105" s="718"/>
      <c r="H105" s="718"/>
      <c r="I105" s="681"/>
      <c r="J105" s="721">
        <v>45</v>
      </c>
      <c r="K105" s="718"/>
      <c r="L105" s="68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  <c r="ACA105" s="5"/>
      <c r="ACB105" s="5"/>
      <c r="ACC105" s="5"/>
      <c r="ACD105" s="5"/>
      <c r="ACE105" s="5"/>
      <c r="ACF105" s="5"/>
      <c r="ACG105" s="5"/>
      <c r="ACH105" s="5"/>
      <c r="ACI105" s="5"/>
      <c r="ACJ105" s="5"/>
      <c r="ACK105" s="5"/>
      <c r="ACL105" s="5"/>
      <c r="ACM105" s="5"/>
      <c r="ACN105" s="5"/>
      <c r="ACO105" s="5"/>
      <c r="ACP105" s="5"/>
      <c r="ACQ105" s="5"/>
      <c r="ACR105" s="5"/>
      <c r="ACS105" s="5"/>
      <c r="ACT105" s="5"/>
      <c r="ACU105" s="5"/>
      <c r="ACV105" s="5"/>
      <c r="ACW105" s="5"/>
      <c r="ACX105" s="5"/>
      <c r="ACY105" s="5"/>
      <c r="ACZ105" s="5"/>
      <c r="ADA105" s="5"/>
      <c r="ADB105" s="5"/>
      <c r="ADC105" s="5"/>
      <c r="ADD105" s="5"/>
      <c r="ADE105" s="5"/>
      <c r="ADF105" s="5"/>
      <c r="ADG105" s="5"/>
      <c r="ADH105" s="5"/>
      <c r="ADI105" s="5"/>
      <c r="ADJ105" s="5"/>
      <c r="ADK105" s="5"/>
      <c r="ADL105" s="5"/>
      <c r="ADM105" s="5"/>
      <c r="ADN105" s="5"/>
      <c r="ADO105" s="5"/>
      <c r="ADP105" s="5"/>
      <c r="ADQ105" s="5"/>
      <c r="ADR105" s="5"/>
      <c r="ADS105" s="5"/>
      <c r="ADT105" s="5"/>
      <c r="ADU105" s="5"/>
      <c r="ADV105" s="5"/>
      <c r="ADW105" s="5"/>
      <c r="ADX105" s="5"/>
      <c r="ADY105" s="5"/>
      <c r="ADZ105" s="5"/>
      <c r="AEA105" s="5"/>
      <c r="AEB105" s="5"/>
      <c r="AEC105" s="5"/>
      <c r="AED105" s="5"/>
      <c r="AEE105" s="5"/>
      <c r="AEF105" s="5"/>
      <c r="AEG105" s="5"/>
      <c r="AEH105" s="5"/>
      <c r="AEI105" s="5"/>
      <c r="AEJ105" s="5"/>
      <c r="AEK105" s="5"/>
      <c r="AEL105" s="5"/>
      <c r="AEM105" s="5"/>
      <c r="AEN105" s="5"/>
      <c r="AEO105" s="5"/>
      <c r="AEP105" s="5"/>
      <c r="AEQ105" s="5"/>
      <c r="AER105" s="5"/>
      <c r="AES105" s="5"/>
      <c r="AET105" s="5"/>
      <c r="AEU105" s="5"/>
      <c r="AEV105" s="5"/>
      <c r="AEW105" s="5"/>
      <c r="AEX105" s="5"/>
      <c r="AEY105" s="5"/>
      <c r="AEZ105" s="5"/>
      <c r="AFA105" s="5"/>
      <c r="AFB105" s="5"/>
      <c r="AFC105" s="5"/>
      <c r="AFD105" s="5"/>
      <c r="AFE105" s="5"/>
      <c r="AFF105" s="5"/>
      <c r="AFG105" s="5"/>
      <c r="AFH105" s="5"/>
      <c r="AFI105" s="5"/>
      <c r="AFJ105" s="5"/>
      <c r="AFK105" s="5"/>
      <c r="AFL105" s="5"/>
      <c r="AFM105" s="5"/>
      <c r="AFN105" s="5"/>
      <c r="AFO105" s="5"/>
      <c r="AFP105" s="5"/>
      <c r="AFQ105" s="5"/>
      <c r="AFR105" s="5"/>
      <c r="AFS105" s="5"/>
      <c r="AFT105" s="5"/>
      <c r="AFU105" s="5"/>
      <c r="AFV105" s="5"/>
      <c r="AFW105" s="5"/>
      <c r="AFX105" s="5"/>
      <c r="AFY105" s="5"/>
      <c r="AFZ105" s="5"/>
      <c r="AGA105" s="5"/>
      <c r="AGB105" s="5"/>
      <c r="AGC105" s="5"/>
      <c r="AGD105" s="5"/>
      <c r="AGE105" s="5"/>
      <c r="AGF105" s="5"/>
      <c r="AGG105" s="5"/>
      <c r="AGH105" s="5"/>
      <c r="AGI105" s="5"/>
      <c r="AGJ105" s="5"/>
      <c r="AGK105" s="5"/>
      <c r="AGL105" s="5"/>
      <c r="AGM105" s="5"/>
      <c r="AGN105" s="5"/>
      <c r="AGO105" s="5"/>
      <c r="AGP105" s="5"/>
      <c r="AGQ105" s="5"/>
      <c r="AGR105" s="5"/>
      <c r="AGS105" s="5"/>
      <c r="AGT105" s="5"/>
      <c r="AGU105" s="5"/>
      <c r="AGV105" s="5"/>
      <c r="AGW105" s="5"/>
      <c r="AGX105" s="5"/>
      <c r="AGY105" s="5"/>
      <c r="AGZ105" s="5"/>
      <c r="AHA105" s="5"/>
      <c r="AHB105" s="5"/>
      <c r="AHC105" s="5"/>
      <c r="AHD105" s="5"/>
      <c r="AHE105" s="5"/>
      <c r="AHF105" s="5"/>
      <c r="AHG105" s="5"/>
      <c r="AHH105" s="5"/>
      <c r="AHI105" s="5"/>
      <c r="AHJ105" s="5"/>
      <c r="AHK105" s="5"/>
      <c r="AHL105" s="5"/>
      <c r="AHM105" s="5"/>
      <c r="AHN105" s="5"/>
      <c r="AHO105" s="5"/>
      <c r="AHP105" s="5"/>
      <c r="AHQ105" s="5"/>
      <c r="AHR105" s="5"/>
      <c r="AHS105" s="5"/>
      <c r="AHT105" s="5"/>
      <c r="AHU105" s="5"/>
      <c r="AHV105" s="5"/>
      <c r="AHW105" s="5"/>
      <c r="AHX105" s="5"/>
      <c r="AHY105" s="5"/>
      <c r="AHZ105" s="5"/>
      <c r="AIA105" s="5"/>
      <c r="AIB105" s="5"/>
      <c r="AIC105" s="5"/>
      <c r="AID105" s="5"/>
      <c r="AIE105" s="5"/>
      <c r="AIF105" s="5"/>
      <c r="AIG105" s="5"/>
      <c r="AIH105" s="5"/>
      <c r="AII105" s="5"/>
      <c r="AIJ105" s="5"/>
      <c r="AIK105" s="5"/>
      <c r="AIL105" s="5"/>
      <c r="AIM105" s="5"/>
      <c r="AIN105" s="5"/>
      <c r="AIO105" s="5"/>
      <c r="AIP105" s="5"/>
      <c r="AIQ105" s="5"/>
      <c r="AIR105" s="5"/>
      <c r="AIS105" s="5"/>
      <c r="AIT105" s="5"/>
      <c r="AIU105" s="5"/>
      <c r="AIV105" s="5"/>
      <c r="AIW105" s="5"/>
      <c r="AIX105" s="5"/>
      <c r="AIY105" s="5"/>
      <c r="AIZ105" s="5"/>
      <c r="AJA105" s="5"/>
      <c r="AJB105" s="5"/>
      <c r="AJC105" s="5"/>
      <c r="AJD105" s="5"/>
      <c r="AJE105" s="5"/>
      <c r="AJF105" s="5"/>
      <c r="AJG105" s="5"/>
      <c r="AJH105" s="5"/>
      <c r="AJI105" s="5"/>
      <c r="AJJ105" s="5"/>
      <c r="AJK105" s="5"/>
      <c r="AJL105" s="5"/>
      <c r="AJM105" s="5"/>
      <c r="AJN105" s="5"/>
      <c r="AJO105" s="5"/>
      <c r="AJP105" s="5"/>
      <c r="AJQ105" s="5"/>
      <c r="AJR105" s="5"/>
      <c r="AJS105" s="5"/>
      <c r="AJT105" s="5"/>
      <c r="AJU105" s="5"/>
      <c r="AJV105" s="5"/>
      <c r="AJW105" s="5"/>
      <c r="AJX105" s="5"/>
      <c r="AJY105" s="5"/>
      <c r="AJZ105" s="5"/>
      <c r="AKA105" s="5"/>
      <c r="AKB105" s="5"/>
      <c r="AKC105" s="5"/>
      <c r="AKD105" s="5"/>
      <c r="AKE105" s="5"/>
      <c r="AKF105" s="5"/>
      <c r="AKG105" s="5"/>
      <c r="AKH105" s="5"/>
      <c r="AKI105" s="5"/>
      <c r="AKJ105" s="5"/>
      <c r="AKK105" s="5"/>
      <c r="AKL105" s="5"/>
      <c r="AKM105" s="5"/>
      <c r="AKN105" s="5"/>
      <c r="AKO105" s="5"/>
      <c r="AKP105" s="5"/>
      <c r="AKQ105" s="5"/>
      <c r="AKR105" s="5"/>
      <c r="AKS105" s="5"/>
      <c r="AKT105" s="5"/>
      <c r="AKU105" s="5"/>
      <c r="AKV105" s="5"/>
      <c r="AKW105" s="5"/>
      <c r="AKX105" s="5"/>
      <c r="AKY105" s="5"/>
      <c r="AKZ105" s="5"/>
      <c r="ALA105" s="5"/>
      <c r="ALB105" s="5"/>
      <c r="ALC105" s="5"/>
      <c r="ALD105" s="5"/>
      <c r="ALE105" s="5"/>
      <c r="ALF105" s="5"/>
      <c r="ALG105" s="5"/>
      <c r="ALH105" s="5"/>
      <c r="ALI105" s="5"/>
      <c r="ALJ105" s="5"/>
      <c r="ALK105" s="5"/>
      <c r="ALL105" s="5"/>
      <c r="ALM105" s="5"/>
      <c r="ALN105" s="5"/>
      <c r="ALO105" s="5"/>
      <c r="ALP105" s="5"/>
      <c r="ALQ105" s="5"/>
      <c r="ALR105" s="5"/>
      <c r="ALS105" s="5"/>
      <c r="ALT105" s="5"/>
      <c r="ALU105" s="5"/>
      <c r="ALV105" s="5"/>
      <c r="ALW105" s="5"/>
      <c r="ALX105" s="5"/>
      <c r="ALY105" s="5"/>
      <c r="ALZ105" s="5"/>
      <c r="AMA105" s="5"/>
      <c r="AMB105" s="5"/>
      <c r="AMC105" s="5"/>
    </row>
    <row r="106" spans="1:1017" s="676" customFormat="1" x14ac:dyDescent="0.2">
      <c r="A106" s="682"/>
      <c r="B106" s="682" t="s">
        <v>636</v>
      </c>
      <c r="C106" s="682"/>
      <c r="D106" s="682"/>
      <c r="E106" s="682"/>
      <c r="F106" s="682"/>
      <c r="G106" s="718"/>
      <c r="H106" s="718"/>
      <c r="I106" s="681"/>
      <c r="J106" s="721">
        <v>14081.58</v>
      </c>
      <c r="K106" s="718">
        <v>20000</v>
      </c>
      <c r="L106" s="68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  <c r="AMA106" s="5"/>
      <c r="AMB106" s="5"/>
      <c r="AMC106" s="5"/>
    </row>
    <row r="107" spans="1:1017" s="676" customFormat="1" x14ac:dyDescent="0.2">
      <c r="A107" s="682"/>
      <c r="B107" s="682" t="s">
        <v>637</v>
      </c>
      <c r="C107" s="682"/>
      <c r="D107" s="682"/>
      <c r="E107" s="682"/>
      <c r="F107" s="682"/>
      <c r="G107" s="718"/>
      <c r="H107" s="718"/>
      <c r="I107" s="681"/>
      <c r="J107" s="721">
        <v>8857.41</v>
      </c>
      <c r="K107" s="718"/>
      <c r="L107" s="68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  <c r="ACA107" s="5"/>
      <c r="ACB107" s="5"/>
      <c r="ACC107" s="5"/>
      <c r="ACD107" s="5"/>
      <c r="ACE107" s="5"/>
      <c r="ACF107" s="5"/>
      <c r="ACG107" s="5"/>
      <c r="ACH107" s="5"/>
      <c r="ACI107" s="5"/>
      <c r="ACJ107" s="5"/>
      <c r="ACK107" s="5"/>
      <c r="ACL107" s="5"/>
      <c r="ACM107" s="5"/>
      <c r="ACN107" s="5"/>
      <c r="ACO107" s="5"/>
      <c r="ACP107" s="5"/>
      <c r="ACQ107" s="5"/>
      <c r="ACR107" s="5"/>
      <c r="ACS107" s="5"/>
      <c r="ACT107" s="5"/>
      <c r="ACU107" s="5"/>
      <c r="ACV107" s="5"/>
      <c r="ACW107" s="5"/>
      <c r="ACX107" s="5"/>
      <c r="ACY107" s="5"/>
      <c r="ACZ107" s="5"/>
      <c r="ADA107" s="5"/>
      <c r="ADB107" s="5"/>
      <c r="ADC107" s="5"/>
      <c r="ADD107" s="5"/>
      <c r="ADE107" s="5"/>
      <c r="ADF107" s="5"/>
      <c r="ADG107" s="5"/>
      <c r="ADH107" s="5"/>
      <c r="ADI107" s="5"/>
      <c r="ADJ107" s="5"/>
      <c r="ADK107" s="5"/>
      <c r="ADL107" s="5"/>
      <c r="ADM107" s="5"/>
      <c r="ADN107" s="5"/>
      <c r="ADO107" s="5"/>
      <c r="ADP107" s="5"/>
      <c r="ADQ107" s="5"/>
      <c r="ADR107" s="5"/>
      <c r="ADS107" s="5"/>
      <c r="ADT107" s="5"/>
      <c r="ADU107" s="5"/>
      <c r="ADV107" s="5"/>
      <c r="ADW107" s="5"/>
      <c r="ADX107" s="5"/>
      <c r="ADY107" s="5"/>
      <c r="ADZ107" s="5"/>
      <c r="AEA107" s="5"/>
      <c r="AEB107" s="5"/>
      <c r="AEC107" s="5"/>
      <c r="AED107" s="5"/>
      <c r="AEE107" s="5"/>
      <c r="AEF107" s="5"/>
      <c r="AEG107" s="5"/>
      <c r="AEH107" s="5"/>
      <c r="AEI107" s="5"/>
      <c r="AEJ107" s="5"/>
      <c r="AEK107" s="5"/>
      <c r="AEL107" s="5"/>
      <c r="AEM107" s="5"/>
      <c r="AEN107" s="5"/>
      <c r="AEO107" s="5"/>
      <c r="AEP107" s="5"/>
      <c r="AEQ107" s="5"/>
      <c r="AER107" s="5"/>
      <c r="AES107" s="5"/>
      <c r="AET107" s="5"/>
      <c r="AEU107" s="5"/>
      <c r="AEV107" s="5"/>
      <c r="AEW107" s="5"/>
      <c r="AEX107" s="5"/>
      <c r="AEY107" s="5"/>
      <c r="AEZ107" s="5"/>
      <c r="AFA107" s="5"/>
      <c r="AFB107" s="5"/>
      <c r="AFC107" s="5"/>
      <c r="AFD107" s="5"/>
      <c r="AFE107" s="5"/>
      <c r="AFF107" s="5"/>
      <c r="AFG107" s="5"/>
      <c r="AFH107" s="5"/>
      <c r="AFI107" s="5"/>
      <c r="AFJ107" s="5"/>
      <c r="AFK107" s="5"/>
      <c r="AFL107" s="5"/>
      <c r="AFM107" s="5"/>
      <c r="AFN107" s="5"/>
      <c r="AFO107" s="5"/>
      <c r="AFP107" s="5"/>
      <c r="AFQ107" s="5"/>
      <c r="AFR107" s="5"/>
      <c r="AFS107" s="5"/>
      <c r="AFT107" s="5"/>
      <c r="AFU107" s="5"/>
      <c r="AFV107" s="5"/>
      <c r="AFW107" s="5"/>
      <c r="AFX107" s="5"/>
      <c r="AFY107" s="5"/>
      <c r="AFZ107" s="5"/>
      <c r="AGA107" s="5"/>
      <c r="AGB107" s="5"/>
      <c r="AGC107" s="5"/>
      <c r="AGD107" s="5"/>
      <c r="AGE107" s="5"/>
      <c r="AGF107" s="5"/>
      <c r="AGG107" s="5"/>
      <c r="AGH107" s="5"/>
      <c r="AGI107" s="5"/>
      <c r="AGJ107" s="5"/>
      <c r="AGK107" s="5"/>
      <c r="AGL107" s="5"/>
      <c r="AGM107" s="5"/>
      <c r="AGN107" s="5"/>
      <c r="AGO107" s="5"/>
      <c r="AGP107" s="5"/>
      <c r="AGQ107" s="5"/>
      <c r="AGR107" s="5"/>
      <c r="AGS107" s="5"/>
      <c r="AGT107" s="5"/>
      <c r="AGU107" s="5"/>
      <c r="AGV107" s="5"/>
      <c r="AGW107" s="5"/>
      <c r="AGX107" s="5"/>
      <c r="AGY107" s="5"/>
      <c r="AGZ107" s="5"/>
      <c r="AHA107" s="5"/>
      <c r="AHB107" s="5"/>
      <c r="AHC107" s="5"/>
      <c r="AHD107" s="5"/>
      <c r="AHE107" s="5"/>
      <c r="AHF107" s="5"/>
      <c r="AHG107" s="5"/>
      <c r="AHH107" s="5"/>
      <c r="AHI107" s="5"/>
      <c r="AHJ107" s="5"/>
      <c r="AHK107" s="5"/>
      <c r="AHL107" s="5"/>
      <c r="AHM107" s="5"/>
      <c r="AHN107" s="5"/>
      <c r="AHO107" s="5"/>
      <c r="AHP107" s="5"/>
      <c r="AHQ107" s="5"/>
      <c r="AHR107" s="5"/>
      <c r="AHS107" s="5"/>
      <c r="AHT107" s="5"/>
      <c r="AHU107" s="5"/>
      <c r="AHV107" s="5"/>
      <c r="AHW107" s="5"/>
      <c r="AHX107" s="5"/>
      <c r="AHY107" s="5"/>
      <c r="AHZ107" s="5"/>
      <c r="AIA107" s="5"/>
      <c r="AIB107" s="5"/>
      <c r="AIC107" s="5"/>
      <c r="AID107" s="5"/>
      <c r="AIE107" s="5"/>
      <c r="AIF107" s="5"/>
      <c r="AIG107" s="5"/>
      <c r="AIH107" s="5"/>
      <c r="AII107" s="5"/>
      <c r="AIJ107" s="5"/>
      <c r="AIK107" s="5"/>
      <c r="AIL107" s="5"/>
      <c r="AIM107" s="5"/>
      <c r="AIN107" s="5"/>
      <c r="AIO107" s="5"/>
      <c r="AIP107" s="5"/>
      <c r="AIQ107" s="5"/>
      <c r="AIR107" s="5"/>
      <c r="AIS107" s="5"/>
      <c r="AIT107" s="5"/>
      <c r="AIU107" s="5"/>
      <c r="AIV107" s="5"/>
      <c r="AIW107" s="5"/>
      <c r="AIX107" s="5"/>
      <c r="AIY107" s="5"/>
      <c r="AIZ107" s="5"/>
      <c r="AJA107" s="5"/>
      <c r="AJB107" s="5"/>
      <c r="AJC107" s="5"/>
      <c r="AJD107" s="5"/>
      <c r="AJE107" s="5"/>
      <c r="AJF107" s="5"/>
      <c r="AJG107" s="5"/>
      <c r="AJH107" s="5"/>
      <c r="AJI107" s="5"/>
      <c r="AJJ107" s="5"/>
      <c r="AJK107" s="5"/>
      <c r="AJL107" s="5"/>
      <c r="AJM107" s="5"/>
      <c r="AJN107" s="5"/>
      <c r="AJO107" s="5"/>
      <c r="AJP107" s="5"/>
      <c r="AJQ107" s="5"/>
      <c r="AJR107" s="5"/>
      <c r="AJS107" s="5"/>
      <c r="AJT107" s="5"/>
      <c r="AJU107" s="5"/>
      <c r="AJV107" s="5"/>
      <c r="AJW107" s="5"/>
      <c r="AJX107" s="5"/>
      <c r="AJY107" s="5"/>
      <c r="AJZ107" s="5"/>
      <c r="AKA107" s="5"/>
      <c r="AKB107" s="5"/>
      <c r="AKC107" s="5"/>
      <c r="AKD107" s="5"/>
      <c r="AKE107" s="5"/>
      <c r="AKF107" s="5"/>
      <c r="AKG107" s="5"/>
      <c r="AKH107" s="5"/>
      <c r="AKI107" s="5"/>
      <c r="AKJ107" s="5"/>
      <c r="AKK107" s="5"/>
      <c r="AKL107" s="5"/>
      <c r="AKM107" s="5"/>
      <c r="AKN107" s="5"/>
      <c r="AKO107" s="5"/>
      <c r="AKP107" s="5"/>
      <c r="AKQ107" s="5"/>
      <c r="AKR107" s="5"/>
      <c r="AKS107" s="5"/>
      <c r="AKT107" s="5"/>
      <c r="AKU107" s="5"/>
      <c r="AKV107" s="5"/>
      <c r="AKW107" s="5"/>
      <c r="AKX107" s="5"/>
      <c r="AKY107" s="5"/>
      <c r="AKZ107" s="5"/>
      <c r="ALA107" s="5"/>
      <c r="ALB107" s="5"/>
      <c r="ALC107" s="5"/>
      <c r="ALD107" s="5"/>
      <c r="ALE107" s="5"/>
      <c r="ALF107" s="5"/>
      <c r="ALG107" s="5"/>
      <c r="ALH107" s="5"/>
      <c r="ALI107" s="5"/>
      <c r="ALJ107" s="5"/>
      <c r="ALK107" s="5"/>
      <c r="ALL107" s="5"/>
      <c r="ALM107" s="5"/>
      <c r="ALN107" s="5"/>
      <c r="ALO107" s="5"/>
      <c r="ALP107" s="5"/>
      <c r="ALQ107" s="5"/>
      <c r="ALR107" s="5"/>
      <c r="ALS107" s="5"/>
      <c r="ALT107" s="5"/>
      <c r="ALU107" s="5"/>
      <c r="ALV107" s="5"/>
      <c r="ALW107" s="5"/>
      <c r="ALX107" s="5"/>
      <c r="ALY107" s="5"/>
      <c r="ALZ107" s="5"/>
      <c r="AMA107" s="5"/>
      <c r="AMB107" s="5"/>
      <c r="AMC107" s="5"/>
    </row>
    <row r="108" spans="1:1017" x14ac:dyDescent="0.2">
      <c r="A108" s="682"/>
      <c r="B108" s="682" t="s">
        <v>632</v>
      </c>
      <c r="C108" s="682"/>
      <c r="D108" s="682"/>
      <c r="E108" s="682"/>
      <c r="F108" s="682"/>
      <c r="G108" s="718">
        <v>35000</v>
      </c>
      <c r="H108" s="718">
        <v>26245.79</v>
      </c>
      <c r="I108" s="690"/>
      <c r="J108" s="720">
        <v>29122.95</v>
      </c>
      <c r="K108" s="718"/>
      <c r="L108" s="690"/>
    </row>
    <row r="109" spans="1:1017" s="676" customFormat="1" x14ac:dyDescent="0.2">
      <c r="A109" s="682"/>
      <c r="B109" s="682" t="s">
        <v>638</v>
      </c>
      <c r="C109" s="682"/>
      <c r="D109" s="682"/>
      <c r="E109" s="682"/>
      <c r="F109" s="682"/>
      <c r="G109" s="718"/>
      <c r="H109" s="718"/>
      <c r="I109" s="690"/>
      <c r="J109" s="720">
        <v>2077.35</v>
      </c>
      <c r="K109" s="718"/>
      <c r="L109" s="690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  <c r="AMB109" s="5"/>
      <c r="AMC109" s="5"/>
    </row>
    <row r="110" spans="1:1017" s="676" customFormat="1" x14ac:dyDescent="0.2">
      <c r="A110" s="682"/>
      <c r="B110" s="682" t="s">
        <v>639</v>
      </c>
      <c r="C110" s="682"/>
      <c r="D110" s="682"/>
      <c r="E110" s="682"/>
      <c r="F110" s="682"/>
      <c r="G110" s="718"/>
      <c r="H110" s="718"/>
      <c r="I110" s="690"/>
      <c r="J110" s="720">
        <v>222</v>
      </c>
      <c r="K110" s="718"/>
      <c r="L110" s="690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  <c r="AMA110" s="5"/>
      <c r="AMB110" s="5"/>
      <c r="AMC110" s="5"/>
    </row>
    <row r="111" spans="1:1017" s="676" customFormat="1" x14ac:dyDescent="0.2">
      <c r="A111" s="682"/>
      <c r="B111" s="682" t="s">
        <v>643</v>
      </c>
      <c r="C111" s="682"/>
      <c r="D111" s="682"/>
      <c r="E111" s="682"/>
      <c r="F111" s="682"/>
      <c r="G111" s="718"/>
      <c r="H111" s="718"/>
      <c r="I111" s="690"/>
      <c r="J111" s="720">
        <v>2550.0300000000002</v>
      </c>
      <c r="K111" s="718"/>
      <c r="L111" s="690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  <c r="ACA111" s="5"/>
      <c r="ACB111" s="5"/>
      <c r="ACC111" s="5"/>
      <c r="ACD111" s="5"/>
      <c r="ACE111" s="5"/>
      <c r="ACF111" s="5"/>
      <c r="ACG111" s="5"/>
      <c r="ACH111" s="5"/>
      <c r="ACI111" s="5"/>
      <c r="ACJ111" s="5"/>
      <c r="ACK111" s="5"/>
      <c r="ACL111" s="5"/>
      <c r="ACM111" s="5"/>
      <c r="ACN111" s="5"/>
      <c r="ACO111" s="5"/>
      <c r="ACP111" s="5"/>
      <c r="ACQ111" s="5"/>
      <c r="ACR111" s="5"/>
      <c r="ACS111" s="5"/>
      <c r="ACT111" s="5"/>
      <c r="ACU111" s="5"/>
      <c r="ACV111" s="5"/>
      <c r="ACW111" s="5"/>
      <c r="ACX111" s="5"/>
      <c r="ACY111" s="5"/>
      <c r="ACZ111" s="5"/>
      <c r="ADA111" s="5"/>
      <c r="ADB111" s="5"/>
      <c r="ADC111" s="5"/>
      <c r="ADD111" s="5"/>
      <c r="ADE111" s="5"/>
      <c r="ADF111" s="5"/>
      <c r="ADG111" s="5"/>
      <c r="ADH111" s="5"/>
      <c r="ADI111" s="5"/>
      <c r="ADJ111" s="5"/>
      <c r="ADK111" s="5"/>
      <c r="ADL111" s="5"/>
      <c r="ADM111" s="5"/>
      <c r="ADN111" s="5"/>
      <c r="ADO111" s="5"/>
      <c r="ADP111" s="5"/>
      <c r="ADQ111" s="5"/>
      <c r="ADR111" s="5"/>
      <c r="ADS111" s="5"/>
      <c r="ADT111" s="5"/>
      <c r="ADU111" s="5"/>
      <c r="ADV111" s="5"/>
      <c r="ADW111" s="5"/>
      <c r="ADX111" s="5"/>
      <c r="ADY111" s="5"/>
      <c r="ADZ111" s="5"/>
      <c r="AEA111" s="5"/>
      <c r="AEB111" s="5"/>
      <c r="AEC111" s="5"/>
      <c r="AED111" s="5"/>
      <c r="AEE111" s="5"/>
      <c r="AEF111" s="5"/>
      <c r="AEG111" s="5"/>
      <c r="AEH111" s="5"/>
      <c r="AEI111" s="5"/>
      <c r="AEJ111" s="5"/>
      <c r="AEK111" s="5"/>
      <c r="AEL111" s="5"/>
      <c r="AEM111" s="5"/>
      <c r="AEN111" s="5"/>
      <c r="AEO111" s="5"/>
      <c r="AEP111" s="5"/>
      <c r="AEQ111" s="5"/>
      <c r="AER111" s="5"/>
      <c r="AES111" s="5"/>
      <c r="AET111" s="5"/>
      <c r="AEU111" s="5"/>
      <c r="AEV111" s="5"/>
      <c r="AEW111" s="5"/>
      <c r="AEX111" s="5"/>
      <c r="AEY111" s="5"/>
      <c r="AEZ111" s="5"/>
      <c r="AFA111" s="5"/>
      <c r="AFB111" s="5"/>
      <c r="AFC111" s="5"/>
      <c r="AFD111" s="5"/>
      <c r="AFE111" s="5"/>
      <c r="AFF111" s="5"/>
      <c r="AFG111" s="5"/>
      <c r="AFH111" s="5"/>
      <c r="AFI111" s="5"/>
      <c r="AFJ111" s="5"/>
      <c r="AFK111" s="5"/>
      <c r="AFL111" s="5"/>
      <c r="AFM111" s="5"/>
      <c r="AFN111" s="5"/>
      <c r="AFO111" s="5"/>
      <c r="AFP111" s="5"/>
      <c r="AFQ111" s="5"/>
      <c r="AFR111" s="5"/>
      <c r="AFS111" s="5"/>
      <c r="AFT111" s="5"/>
      <c r="AFU111" s="5"/>
      <c r="AFV111" s="5"/>
      <c r="AFW111" s="5"/>
      <c r="AFX111" s="5"/>
      <c r="AFY111" s="5"/>
      <c r="AFZ111" s="5"/>
      <c r="AGA111" s="5"/>
      <c r="AGB111" s="5"/>
      <c r="AGC111" s="5"/>
      <c r="AGD111" s="5"/>
      <c r="AGE111" s="5"/>
      <c r="AGF111" s="5"/>
      <c r="AGG111" s="5"/>
      <c r="AGH111" s="5"/>
      <c r="AGI111" s="5"/>
      <c r="AGJ111" s="5"/>
      <c r="AGK111" s="5"/>
      <c r="AGL111" s="5"/>
      <c r="AGM111" s="5"/>
      <c r="AGN111" s="5"/>
      <c r="AGO111" s="5"/>
      <c r="AGP111" s="5"/>
      <c r="AGQ111" s="5"/>
      <c r="AGR111" s="5"/>
      <c r="AGS111" s="5"/>
      <c r="AGT111" s="5"/>
      <c r="AGU111" s="5"/>
      <c r="AGV111" s="5"/>
      <c r="AGW111" s="5"/>
      <c r="AGX111" s="5"/>
      <c r="AGY111" s="5"/>
      <c r="AGZ111" s="5"/>
      <c r="AHA111" s="5"/>
      <c r="AHB111" s="5"/>
      <c r="AHC111" s="5"/>
      <c r="AHD111" s="5"/>
      <c r="AHE111" s="5"/>
      <c r="AHF111" s="5"/>
      <c r="AHG111" s="5"/>
      <c r="AHH111" s="5"/>
      <c r="AHI111" s="5"/>
      <c r="AHJ111" s="5"/>
      <c r="AHK111" s="5"/>
      <c r="AHL111" s="5"/>
      <c r="AHM111" s="5"/>
      <c r="AHN111" s="5"/>
      <c r="AHO111" s="5"/>
      <c r="AHP111" s="5"/>
      <c r="AHQ111" s="5"/>
      <c r="AHR111" s="5"/>
      <c r="AHS111" s="5"/>
      <c r="AHT111" s="5"/>
      <c r="AHU111" s="5"/>
      <c r="AHV111" s="5"/>
      <c r="AHW111" s="5"/>
      <c r="AHX111" s="5"/>
      <c r="AHY111" s="5"/>
      <c r="AHZ111" s="5"/>
      <c r="AIA111" s="5"/>
      <c r="AIB111" s="5"/>
      <c r="AIC111" s="5"/>
      <c r="AID111" s="5"/>
      <c r="AIE111" s="5"/>
      <c r="AIF111" s="5"/>
      <c r="AIG111" s="5"/>
      <c r="AIH111" s="5"/>
      <c r="AII111" s="5"/>
      <c r="AIJ111" s="5"/>
      <c r="AIK111" s="5"/>
      <c r="AIL111" s="5"/>
      <c r="AIM111" s="5"/>
      <c r="AIN111" s="5"/>
      <c r="AIO111" s="5"/>
      <c r="AIP111" s="5"/>
      <c r="AIQ111" s="5"/>
      <c r="AIR111" s="5"/>
      <c r="AIS111" s="5"/>
      <c r="AIT111" s="5"/>
      <c r="AIU111" s="5"/>
      <c r="AIV111" s="5"/>
      <c r="AIW111" s="5"/>
      <c r="AIX111" s="5"/>
      <c r="AIY111" s="5"/>
      <c r="AIZ111" s="5"/>
      <c r="AJA111" s="5"/>
      <c r="AJB111" s="5"/>
      <c r="AJC111" s="5"/>
      <c r="AJD111" s="5"/>
      <c r="AJE111" s="5"/>
      <c r="AJF111" s="5"/>
      <c r="AJG111" s="5"/>
      <c r="AJH111" s="5"/>
      <c r="AJI111" s="5"/>
      <c r="AJJ111" s="5"/>
      <c r="AJK111" s="5"/>
      <c r="AJL111" s="5"/>
      <c r="AJM111" s="5"/>
      <c r="AJN111" s="5"/>
      <c r="AJO111" s="5"/>
      <c r="AJP111" s="5"/>
      <c r="AJQ111" s="5"/>
      <c r="AJR111" s="5"/>
      <c r="AJS111" s="5"/>
      <c r="AJT111" s="5"/>
      <c r="AJU111" s="5"/>
      <c r="AJV111" s="5"/>
      <c r="AJW111" s="5"/>
      <c r="AJX111" s="5"/>
      <c r="AJY111" s="5"/>
      <c r="AJZ111" s="5"/>
      <c r="AKA111" s="5"/>
      <c r="AKB111" s="5"/>
      <c r="AKC111" s="5"/>
      <c r="AKD111" s="5"/>
      <c r="AKE111" s="5"/>
      <c r="AKF111" s="5"/>
      <c r="AKG111" s="5"/>
      <c r="AKH111" s="5"/>
      <c r="AKI111" s="5"/>
      <c r="AKJ111" s="5"/>
      <c r="AKK111" s="5"/>
      <c r="AKL111" s="5"/>
      <c r="AKM111" s="5"/>
      <c r="AKN111" s="5"/>
      <c r="AKO111" s="5"/>
      <c r="AKP111" s="5"/>
      <c r="AKQ111" s="5"/>
      <c r="AKR111" s="5"/>
      <c r="AKS111" s="5"/>
      <c r="AKT111" s="5"/>
      <c r="AKU111" s="5"/>
      <c r="AKV111" s="5"/>
      <c r="AKW111" s="5"/>
      <c r="AKX111" s="5"/>
      <c r="AKY111" s="5"/>
      <c r="AKZ111" s="5"/>
      <c r="ALA111" s="5"/>
      <c r="ALB111" s="5"/>
      <c r="ALC111" s="5"/>
      <c r="ALD111" s="5"/>
      <c r="ALE111" s="5"/>
      <c r="ALF111" s="5"/>
      <c r="ALG111" s="5"/>
      <c r="ALH111" s="5"/>
      <c r="ALI111" s="5"/>
      <c r="ALJ111" s="5"/>
      <c r="ALK111" s="5"/>
      <c r="ALL111" s="5"/>
      <c r="ALM111" s="5"/>
      <c r="ALN111" s="5"/>
      <c r="ALO111" s="5"/>
      <c r="ALP111" s="5"/>
      <c r="ALQ111" s="5"/>
      <c r="ALR111" s="5"/>
      <c r="ALS111" s="5"/>
      <c r="ALT111" s="5"/>
      <c r="ALU111" s="5"/>
      <c r="ALV111" s="5"/>
      <c r="ALW111" s="5"/>
      <c r="ALX111" s="5"/>
      <c r="ALY111" s="5"/>
      <c r="ALZ111" s="5"/>
      <c r="AMA111" s="5"/>
      <c r="AMB111" s="5"/>
      <c r="AMC111" s="5"/>
    </row>
    <row r="112" spans="1:1017" s="676" customFormat="1" x14ac:dyDescent="0.2">
      <c r="A112" s="682"/>
      <c r="B112" s="682" t="s">
        <v>644</v>
      </c>
      <c r="C112" s="682"/>
      <c r="D112" s="682"/>
      <c r="E112" s="682"/>
      <c r="F112" s="682"/>
      <c r="G112" s="718"/>
      <c r="H112" s="718"/>
      <c r="I112" s="690"/>
      <c r="J112" s="720">
        <v>1145</v>
      </c>
      <c r="K112" s="718"/>
      <c r="L112" s="690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  <c r="AMA112" s="5"/>
      <c r="AMB112" s="5"/>
      <c r="AMC112" s="5"/>
    </row>
    <row r="113" spans="1:1017" s="676" customFormat="1" x14ac:dyDescent="0.2">
      <c r="A113" s="682"/>
      <c r="B113" s="682" t="s">
        <v>640</v>
      </c>
      <c r="C113" s="682"/>
      <c r="D113" s="682"/>
      <c r="E113" s="682"/>
      <c r="F113" s="682"/>
      <c r="G113" s="718"/>
      <c r="H113" s="718"/>
      <c r="I113" s="690"/>
      <c r="J113" s="720">
        <v>15452.77</v>
      </c>
      <c r="K113" s="718"/>
      <c r="L113" s="690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5"/>
      <c r="UO113" s="5"/>
      <c r="UP113" s="5"/>
      <c r="UQ113" s="5"/>
      <c r="UR113" s="5"/>
      <c r="US113" s="5"/>
      <c r="UT113" s="5"/>
      <c r="UU113" s="5"/>
      <c r="UV113" s="5"/>
      <c r="UW113" s="5"/>
      <c r="UX113" s="5"/>
      <c r="UY113" s="5"/>
      <c r="UZ113" s="5"/>
      <c r="VA113" s="5"/>
      <c r="VB113" s="5"/>
      <c r="VC113" s="5"/>
      <c r="VD113" s="5"/>
      <c r="VE113" s="5"/>
      <c r="VF113" s="5"/>
      <c r="VG113" s="5"/>
      <c r="VH113" s="5"/>
      <c r="VI113" s="5"/>
      <c r="VJ113" s="5"/>
      <c r="VK113" s="5"/>
      <c r="VL113" s="5"/>
      <c r="VM113" s="5"/>
      <c r="VN113" s="5"/>
      <c r="VO113" s="5"/>
      <c r="VP113" s="5"/>
      <c r="VQ113" s="5"/>
      <c r="VR113" s="5"/>
      <c r="VS113" s="5"/>
      <c r="VT113" s="5"/>
      <c r="VU113" s="5"/>
      <c r="VV113" s="5"/>
      <c r="VW113" s="5"/>
      <c r="VX113" s="5"/>
      <c r="VY113" s="5"/>
      <c r="VZ113" s="5"/>
      <c r="WA113" s="5"/>
      <c r="WB113" s="5"/>
      <c r="WC113" s="5"/>
      <c r="WD113" s="5"/>
      <c r="WE113" s="5"/>
      <c r="WF113" s="5"/>
      <c r="WG113" s="5"/>
      <c r="WH113" s="5"/>
      <c r="WI113" s="5"/>
      <c r="WJ113" s="5"/>
      <c r="WK113" s="5"/>
      <c r="WL113" s="5"/>
      <c r="WM113" s="5"/>
      <c r="WN113" s="5"/>
      <c r="WO113" s="5"/>
      <c r="WP113" s="5"/>
      <c r="WQ113" s="5"/>
      <c r="WR113" s="5"/>
      <c r="WS113" s="5"/>
      <c r="WT113" s="5"/>
      <c r="WU113" s="5"/>
      <c r="WV113" s="5"/>
      <c r="WW113" s="5"/>
      <c r="WX113" s="5"/>
      <c r="WY113" s="5"/>
      <c r="WZ113" s="5"/>
      <c r="XA113" s="5"/>
      <c r="XB113" s="5"/>
      <c r="XC113" s="5"/>
      <c r="XD113" s="5"/>
      <c r="XE113" s="5"/>
      <c r="XF113" s="5"/>
      <c r="XG113" s="5"/>
      <c r="XH113" s="5"/>
      <c r="XI113" s="5"/>
      <c r="XJ113" s="5"/>
      <c r="XK113" s="5"/>
      <c r="XL113" s="5"/>
      <c r="XM113" s="5"/>
      <c r="XN113" s="5"/>
      <c r="XO113" s="5"/>
      <c r="XP113" s="5"/>
      <c r="XQ113" s="5"/>
      <c r="XR113" s="5"/>
      <c r="XS113" s="5"/>
      <c r="XT113" s="5"/>
      <c r="XU113" s="5"/>
      <c r="XV113" s="5"/>
      <c r="XW113" s="5"/>
      <c r="XX113" s="5"/>
      <c r="XY113" s="5"/>
      <c r="XZ113" s="5"/>
      <c r="YA113" s="5"/>
      <c r="YB113" s="5"/>
      <c r="YC113" s="5"/>
      <c r="YD113" s="5"/>
      <c r="YE113" s="5"/>
      <c r="YF113" s="5"/>
      <c r="YG113" s="5"/>
      <c r="YH113" s="5"/>
      <c r="YI113" s="5"/>
      <c r="YJ113" s="5"/>
      <c r="YK113" s="5"/>
      <c r="YL113" s="5"/>
      <c r="YM113" s="5"/>
      <c r="YN113" s="5"/>
      <c r="YO113" s="5"/>
      <c r="YP113" s="5"/>
      <c r="YQ113" s="5"/>
      <c r="YR113" s="5"/>
      <c r="YS113" s="5"/>
      <c r="YT113" s="5"/>
      <c r="YU113" s="5"/>
      <c r="YV113" s="5"/>
      <c r="YW113" s="5"/>
      <c r="YX113" s="5"/>
      <c r="YY113" s="5"/>
      <c r="YZ113" s="5"/>
      <c r="ZA113" s="5"/>
      <c r="ZB113" s="5"/>
      <c r="ZC113" s="5"/>
      <c r="ZD113" s="5"/>
      <c r="ZE113" s="5"/>
      <c r="ZF113" s="5"/>
      <c r="ZG113" s="5"/>
      <c r="ZH113" s="5"/>
      <c r="ZI113" s="5"/>
      <c r="ZJ113" s="5"/>
      <c r="ZK113" s="5"/>
      <c r="ZL113" s="5"/>
      <c r="ZM113" s="5"/>
      <c r="ZN113" s="5"/>
      <c r="ZO113" s="5"/>
      <c r="ZP113" s="5"/>
      <c r="ZQ113" s="5"/>
      <c r="ZR113" s="5"/>
      <c r="ZS113" s="5"/>
      <c r="ZT113" s="5"/>
      <c r="ZU113" s="5"/>
      <c r="ZV113" s="5"/>
      <c r="ZW113" s="5"/>
      <c r="ZX113" s="5"/>
      <c r="ZY113" s="5"/>
      <c r="ZZ113" s="5"/>
      <c r="AAA113" s="5"/>
      <c r="AAB113" s="5"/>
      <c r="AAC113" s="5"/>
      <c r="AAD113" s="5"/>
      <c r="AAE113" s="5"/>
      <c r="AAF113" s="5"/>
      <c r="AAG113" s="5"/>
      <c r="AAH113" s="5"/>
      <c r="AAI113" s="5"/>
      <c r="AAJ113" s="5"/>
      <c r="AAK113" s="5"/>
      <c r="AAL113" s="5"/>
      <c r="AAM113" s="5"/>
      <c r="AAN113" s="5"/>
      <c r="AAO113" s="5"/>
      <c r="AAP113" s="5"/>
      <c r="AAQ113" s="5"/>
      <c r="AAR113" s="5"/>
      <c r="AAS113" s="5"/>
      <c r="AAT113" s="5"/>
      <c r="AAU113" s="5"/>
      <c r="AAV113" s="5"/>
      <c r="AAW113" s="5"/>
      <c r="AAX113" s="5"/>
      <c r="AAY113" s="5"/>
      <c r="AAZ113" s="5"/>
      <c r="ABA113" s="5"/>
      <c r="ABB113" s="5"/>
      <c r="ABC113" s="5"/>
      <c r="ABD113" s="5"/>
      <c r="ABE113" s="5"/>
      <c r="ABF113" s="5"/>
      <c r="ABG113" s="5"/>
      <c r="ABH113" s="5"/>
      <c r="ABI113" s="5"/>
      <c r="ABJ113" s="5"/>
      <c r="ABK113" s="5"/>
      <c r="ABL113" s="5"/>
      <c r="ABM113" s="5"/>
      <c r="ABN113" s="5"/>
      <c r="ABO113" s="5"/>
      <c r="ABP113" s="5"/>
      <c r="ABQ113" s="5"/>
      <c r="ABR113" s="5"/>
      <c r="ABS113" s="5"/>
      <c r="ABT113" s="5"/>
      <c r="ABU113" s="5"/>
      <c r="ABV113" s="5"/>
      <c r="ABW113" s="5"/>
      <c r="ABX113" s="5"/>
      <c r="ABY113" s="5"/>
      <c r="ABZ113" s="5"/>
      <c r="ACA113" s="5"/>
      <c r="ACB113" s="5"/>
      <c r="ACC113" s="5"/>
      <c r="ACD113" s="5"/>
      <c r="ACE113" s="5"/>
      <c r="ACF113" s="5"/>
      <c r="ACG113" s="5"/>
      <c r="ACH113" s="5"/>
      <c r="ACI113" s="5"/>
      <c r="ACJ113" s="5"/>
      <c r="ACK113" s="5"/>
      <c r="ACL113" s="5"/>
      <c r="ACM113" s="5"/>
      <c r="ACN113" s="5"/>
      <c r="ACO113" s="5"/>
      <c r="ACP113" s="5"/>
      <c r="ACQ113" s="5"/>
      <c r="ACR113" s="5"/>
      <c r="ACS113" s="5"/>
      <c r="ACT113" s="5"/>
      <c r="ACU113" s="5"/>
      <c r="ACV113" s="5"/>
      <c r="ACW113" s="5"/>
      <c r="ACX113" s="5"/>
      <c r="ACY113" s="5"/>
      <c r="ACZ113" s="5"/>
      <c r="ADA113" s="5"/>
      <c r="ADB113" s="5"/>
      <c r="ADC113" s="5"/>
      <c r="ADD113" s="5"/>
      <c r="ADE113" s="5"/>
      <c r="ADF113" s="5"/>
      <c r="ADG113" s="5"/>
      <c r="ADH113" s="5"/>
      <c r="ADI113" s="5"/>
      <c r="ADJ113" s="5"/>
      <c r="ADK113" s="5"/>
      <c r="ADL113" s="5"/>
      <c r="ADM113" s="5"/>
      <c r="ADN113" s="5"/>
      <c r="ADO113" s="5"/>
      <c r="ADP113" s="5"/>
      <c r="ADQ113" s="5"/>
      <c r="ADR113" s="5"/>
      <c r="ADS113" s="5"/>
      <c r="ADT113" s="5"/>
      <c r="ADU113" s="5"/>
      <c r="ADV113" s="5"/>
      <c r="ADW113" s="5"/>
      <c r="ADX113" s="5"/>
      <c r="ADY113" s="5"/>
      <c r="ADZ113" s="5"/>
      <c r="AEA113" s="5"/>
      <c r="AEB113" s="5"/>
      <c r="AEC113" s="5"/>
      <c r="AED113" s="5"/>
      <c r="AEE113" s="5"/>
      <c r="AEF113" s="5"/>
      <c r="AEG113" s="5"/>
      <c r="AEH113" s="5"/>
      <c r="AEI113" s="5"/>
      <c r="AEJ113" s="5"/>
      <c r="AEK113" s="5"/>
      <c r="AEL113" s="5"/>
      <c r="AEM113" s="5"/>
      <c r="AEN113" s="5"/>
      <c r="AEO113" s="5"/>
      <c r="AEP113" s="5"/>
      <c r="AEQ113" s="5"/>
      <c r="AER113" s="5"/>
      <c r="AES113" s="5"/>
      <c r="AET113" s="5"/>
      <c r="AEU113" s="5"/>
      <c r="AEV113" s="5"/>
      <c r="AEW113" s="5"/>
      <c r="AEX113" s="5"/>
      <c r="AEY113" s="5"/>
      <c r="AEZ113" s="5"/>
      <c r="AFA113" s="5"/>
      <c r="AFB113" s="5"/>
      <c r="AFC113" s="5"/>
      <c r="AFD113" s="5"/>
      <c r="AFE113" s="5"/>
      <c r="AFF113" s="5"/>
      <c r="AFG113" s="5"/>
      <c r="AFH113" s="5"/>
      <c r="AFI113" s="5"/>
      <c r="AFJ113" s="5"/>
      <c r="AFK113" s="5"/>
      <c r="AFL113" s="5"/>
      <c r="AFM113" s="5"/>
      <c r="AFN113" s="5"/>
      <c r="AFO113" s="5"/>
      <c r="AFP113" s="5"/>
      <c r="AFQ113" s="5"/>
      <c r="AFR113" s="5"/>
      <c r="AFS113" s="5"/>
      <c r="AFT113" s="5"/>
      <c r="AFU113" s="5"/>
      <c r="AFV113" s="5"/>
      <c r="AFW113" s="5"/>
      <c r="AFX113" s="5"/>
      <c r="AFY113" s="5"/>
      <c r="AFZ113" s="5"/>
      <c r="AGA113" s="5"/>
      <c r="AGB113" s="5"/>
      <c r="AGC113" s="5"/>
      <c r="AGD113" s="5"/>
      <c r="AGE113" s="5"/>
      <c r="AGF113" s="5"/>
      <c r="AGG113" s="5"/>
      <c r="AGH113" s="5"/>
      <c r="AGI113" s="5"/>
      <c r="AGJ113" s="5"/>
      <c r="AGK113" s="5"/>
      <c r="AGL113" s="5"/>
      <c r="AGM113" s="5"/>
      <c r="AGN113" s="5"/>
      <c r="AGO113" s="5"/>
      <c r="AGP113" s="5"/>
      <c r="AGQ113" s="5"/>
      <c r="AGR113" s="5"/>
      <c r="AGS113" s="5"/>
      <c r="AGT113" s="5"/>
      <c r="AGU113" s="5"/>
      <c r="AGV113" s="5"/>
      <c r="AGW113" s="5"/>
      <c r="AGX113" s="5"/>
      <c r="AGY113" s="5"/>
      <c r="AGZ113" s="5"/>
      <c r="AHA113" s="5"/>
      <c r="AHB113" s="5"/>
      <c r="AHC113" s="5"/>
      <c r="AHD113" s="5"/>
      <c r="AHE113" s="5"/>
      <c r="AHF113" s="5"/>
      <c r="AHG113" s="5"/>
      <c r="AHH113" s="5"/>
      <c r="AHI113" s="5"/>
      <c r="AHJ113" s="5"/>
      <c r="AHK113" s="5"/>
      <c r="AHL113" s="5"/>
      <c r="AHM113" s="5"/>
      <c r="AHN113" s="5"/>
      <c r="AHO113" s="5"/>
      <c r="AHP113" s="5"/>
      <c r="AHQ113" s="5"/>
      <c r="AHR113" s="5"/>
      <c r="AHS113" s="5"/>
      <c r="AHT113" s="5"/>
      <c r="AHU113" s="5"/>
      <c r="AHV113" s="5"/>
      <c r="AHW113" s="5"/>
      <c r="AHX113" s="5"/>
      <c r="AHY113" s="5"/>
      <c r="AHZ113" s="5"/>
      <c r="AIA113" s="5"/>
      <c r="AIB113" s="5"/>
      <c r="AIC113" s="5"/>
      <c r="AID113" s="5"/>
      <c r="AIE113" s="5"/>
      <c r="AIF113" s="5"/>
      <c r="AIG113" s="5"/>
      <c r="AIH113" s="5"/>
      <c r="AII113" s="5"/>
      <c r="AIJ113" s="5"/>
      <c r="AIK113" s="5"/>
      <c r="AIL113" s="5"/>
      <c r="AIM113" s="5"/>
      <c r="AIN113" s="5"/>
      <c r="AIO113" s="5"/>
      <c r="AIP113" s="5"/>
      <c r="AIQ113" s="5"/>
      <c r="AIR113" s="5"/>
      <c r="AIS113" s="5"/>
      <c r="AIT113" s="5"/>
      <c r="AIU113" s="5"/>
      <c r="AIV113" s="5"/>
      <c r="AIW113" s="5"/>
      <c r="AIX113" s="5"/>
      <c r="AIY113" s="5"/>
      <c r="AIZ113" s="5"/>
      <c r="AJA113" s="5"/>
      <c r="AJB113" s="5"/>
      <c r="AJC113" s="5"/>
      <c r="AJD113" s="5"/>
      <c r="AJE113" s="5"/>
      <c r="AJF113" s="5"/>
      <c r="AJG113" s="5"/>
      <c r="AJH113" s="5"/>
      <c r="AJI113" s="5"/>
      <c r="AJJ113" s="5"/>
      <c r="AJK113" s="5"/>
      <c r="AJL113" s="5"/>
      <c r="AJM113" s="5"/>
      <c r="AJN113" s="5"/>
      <c r="AJO113" s="5"/>
      <c r="AJP113" s="5"/>
      <c r="AJQ113" s="5"/>
      <c r="AJR113" s="5"/>
      <c r="AJS113" s="5"/>
      <c r="AJT113" s="5"/>
      <c r="AJU113" s="5"/>
      <c r="AJV113" s="5"/>
      <c r="AJW113" s="5"/>
      <c r="AJX113" s="5"/>
      <c r="AJY113" s="5"/>
      <c r="AJZ113" s="5"/>
      <c r="AKA113" s="5"/>
      <c r="AKB113" s="5"/>
      <c r="AKC113" s="5"/>
      <c r="AKD113" s="5"/>
      <c r="AKE113" s="5"/>
      <c r="AKF113" s="5"/>
      <c r="AKG113" s="5"/>
      <c r="AKH113" s="5"/>
      <c r="AKI113" s="5"/>
      <c r="AKJ113" s="5"/>
      <c r="AKK113" s="5"/>
      <c r="AKL113" s="5"/>
      <c r="AKM113" s="5"/>
      <c r="AKN113" s="5"/>
      <c r="AKO113" s="5"/>
      <c r="AKP113" s="5"/>
      <c r="AKQ113" s="5"/>
      <c r="AKR113" s="5"/>
      <c r="AKS113" s="5"/>
      <c r="AKT113" s="5"/>
      <c r="AKU113" s="5"/>
      <c r="AKV113" s="5"/>
      <c r="AKW113" s="5"/>
      <c r="AKX113" s="5"/>
      <c r="AKY113" s="5"/>
      <c r="AKZ113" s="5"/>
      <c r="ALA113" s="5"/>
      <c r="ALB113" s="5"/>
      <c r="ALC113" s="5"/>
      <c r="ALD113" s="5"/>
      <c r="ALE113" s="5"/>
      <c r="ALF113" s="5"/>
      <c r="ALG113" s="5"/>
      <c r="ALH113" s="5"/>
      <c r="ALI113" s="5"/>
      <c r="ALJ113" s="5"/>
      <c r="ALK113" s="5"/>
      <c r="ALL113" s="5"/>
      <c r="ALM113" s="5"/>
      <c r="ALN113" s="5"/>
      <c r="ALO113" s="5"/>
      <c r="ALP113" s="5"/>
      <c r="ALQ113" s="5"/>
      <c r="ALR113" s="5"/>
      <c r="ALS113" s="5"/>
      <c r="ALT113" s="5"/>
      <c r="ALU113" s="5"/>
      <c r="ALV113" s="5"/>
      <c r="ALW113" s="5"/>
      <c r="ALX113" s="5"/>
      <c r="ALY113" s="5"/>
      <c r="ALZ113" s="5"/>
      <c r="AMA113" s="5"/>
      <c r="AMB113" s="5"/>
      <c r="AMC113" s="5"/>
    </row>
    <row r="114" spans="1:1017" s="676" customFormat="1" x14ac:dyDescent="0.2">
      <c r="A114" s="682"/>
      <c r="B114" s="682" t="s">
        <v>641</v>
      </c>
      <c r="C114" s="682"/>
      <c r="D114" s="682"/>
      <c r="E114" s="682"/>
      <c r="F114" s="682"/>
      <c r="G114" s="718"/>
      <c r="H114" s="718"/>
      <c r="I114" s="690"/>
      <c r="J114" s="720">
        <v>1892.19</v>
      </c>
      <c r="K114" s="718"/>
      <c r="L114" s="690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  <c r="ACA114" s="5"/>
      <c r="ACB114" s="5"/>
      <c r="ACC114" s="5"/>
      <c r="ACD114" s="5"/>
      <c r="ACE114" s="5"/>
      <c r="ACF114" s="5"/>
      <c r="ACG114" s="5"/>
      <c r="ACH114" s="5"/>
      <c r="ACI114" s="5"/>
      <c r="ACJ114" s="5"/>
      <c r="ACK114" s="5"/>
      <c r="ACL114" s="5"/>
      <c r="ACM114" s="5"/>
      <c r="ACN114" s="5"/>
      <c r="ACO114" s="5"/>
      <c r="ACP114" s="5"/>
      <c r="ACQ114" s="5"/>
      <c r="ACR114" s="5"/>
      <c r="ACS114" s="5"/>
      <c r="ACT114" s="5"/>
      <c r="ACU114" s="5"/>
      <c r="ACV114" s="5"/>
      <c r="ACW114" s="5"/>
      <c r="ACX114" s="5"/>
      <c r="ACY114" s="5"/>
      <c r="ACZ114" s="5"/>
      <c r="ADA114" s="5"/>
      <c r="ADB114" s="5"/>
      <c r="ADC114" s="5"/>
      <c r="ADD114" s="5"/>
      <c r="ADE114" s="5"/>
      <c r="ADF114" s="5"/>
      <c r="ADG114" s="5"/>
      <c r="ADH114" s="5"/>
      <c r="ADI114" s="5"/>
      <c r="ADJ114" s="5"/>
      <c r="ADK114" s="5"/>
      <c r="ADL114" s="5"/>
      <c r="ADM114" s="5"/>
      <c r="ADN114" s="5"/>
      <c r="ADO114" s="5"/>
      <c r="ADP114" s="5"/>
      <c r="ADQ114" s="5"/>
      <c r="ADR114" s="5"/>
      <c r="ADS114" s="5"/>
      <c r="ADT114" s="5"/>
      <c r="ADU114" s="5"/>
      <c r="ADV114" s="5"/>
      <c r="ADW114" s="5"/>
      <c r="ADX114" s="5"/>
      <c r="ADY114" s="5"/>
      <c r="ADZ114" s="5"/>
      <c r="AEA114" s="5"/>
      <c r="AEB114" s="5"/>
      <c r="AEC114" s="5"/>
      <c r="AED114" s="5"/>
      <c r="AEE114" s="5"/>
      <c r="AEF114" s="5"/>
      <c r="AEG114" s="5"/>
      <c r="AEH114" s="5"/>
      <c r="AEI114" s="5"/>
      <c r="AEJ114" s="5"/>
      <c r="AEK114" s="5"/>
      <c r="AEL114" s="5"/>
      <c r="AEM114" s="5"/>
      <c r="AEN114" s="5"/>
      <c r="AEO114" s="5"/>
      <c r="AEP114" s="5"/>
      <c r="AEQ114" s="5"/>
      <c r="AER114" s="5"/>
      <c r="AES114" s="5"/>
      <c r="AET114" s="5"/>
      <c r="AEU114" s="5"/>
      <c r="AEV114" s="5"/>
      <c r="AEW114" s="5"/>
      <c r="AEX114" s="5"/>
      <c r="AEY114" s="5"/>
      <c r="AEZ114" s="5"/>
      <c r="AFA114" s="5"/>
      <c r="AFB114" s="5"/>
      <c r="AFC114" s="5"/>
      <c r="AFD114" s="5"/>
      <c r="AFE114" s="5"/>
      <c r="AFF114" s="5"/>
      <c r="AFG114" s="5"/>
      <c r="AFH114" s="5"/>
      <c r="AFI114" s="5"/>
      <c r="AFJ114" s="5"/>
      <c r="AFK114" s="5"/>
      <c r="AFL114" s="5"/>
      <c r="AFM114" s="5"/>
      <c r="AFN114" s="5"/>
      <c r="AFO114" s="5"/>
      <c r="AFP114" s="5"/>
      <c r="AFQ114" s="5"/>
      <c r="AFR114" s="5"/>
      <c r="AFS114" s="5"/>
      <c r="AFT114" s="5"/>
      <c r="AFU114" s="5"/>
      <c r="AFV114" s="5"/>
      <c r="AFW114" s="5"/>
      <c r="AFX114" s="5"/>
      <c r="AFY114" s="5"/>
      <c r="AFZ114" s="5"/>
      <c r="AGA114" s="5"/>
      <c r="AGB114" s="5"/>
      <c r="AGC114" s="5"/>
      <c r="AGD114" s="5"/>
      <c r="AGE114" s="5"/>
      <c r="AGF114" s="5"/>
      <c r="AGG114" s="5"/>
      <c r="AGH114" s="5"/>
      <c r="AGI114" s="5"/>
      <c r="AGJ114" s="5"/>
      <c r="AGK114" s="5"/>
      <c r="AGL114" s="5"/>
      <c r="AGM114" s="5"/>
      <c r="AGN114" s="5"/>
      <c r="AGO114" s="5"/>
      <c r="AGP114" s="5"/>
      <c r="AGQ114" s="5"/>
      <c r="AGR114" s="5"/>
      <c r="AGS114" s="5"/>
      <c r="AGT114" s="5"/>
      <c r="AGU114" s="5"/>
      <c r="AGV114" s="5"/>
      <c r="AGW114" s="5"/>
      <c r="AGX114" s="5"/>
      <c r="AGY114" s="5"/>
      <c r="AGZ114" s="5"/>
      <c r="AHA114" s="5"/>
      <c r="AHB114" s="5"/>
      <c r="AHC114" s="5"/>
      <c r="AHD114" s="5"/>
      <c r="AHE114" s="5"/>
      <c r="AHF114" s="5"/>
      <c r="AHG114" s="5"/>
      <c r="AHH114" s="5"/>
      <c r="AHI114" s="5"/>
      <c r="AHJ114" s="5"/>
      <c r="AHK114" s="5"/>
      <c r="AHL114" s="5"/>
      <c r="AHM114" s="5"/>
      <c r="AHN114" s="5"/>
      <c r="AHO114" s="5"/>
      <c r="AHP114" s="5"/>
      <c r="AHQ114" s="5"/>
      <c r="AHR114" s="5"/>
      <c r="AHS114" s="5"/>
      <c r="AHT114" s="5"/>
      <c r="AHU114" s="5"/>
      <c r="AHV114" s="5"/>
      <c r="AHW114" s="5"/>
      <c r="AHX114" s="5"/>
      <c r="AHY114" s="5"/>
      <c r="AHZ114" s="5"/>
      <c r="AIA114" s="5"/>
      <c r="AIB114" s="5"/>
      <c r="AIC114" s="5"/>
      <c r="AID114" s="5"/>
      <c r="AIE114" s="5"/>
      <c r="AIF114" s="5"/>
      <c r="AIG114" s="5"/>
      <c r="AIH114" s="5"/>
      <c r="AII114" s="5"/>
      <c r="AIJ114" s="5"/>
      <c r="AIK114" s="5"/>
      <c r="AIL114" s="5"/>
      <c r="AIM114" s="5"/>
      <c r="AIN114" s="5"/>
      <c r="AIO114" s="5"/>
      <c r="AIP114" s="5"/>
      <c r="AIQ114" s="5"/>
      <c r="AIR114" s="5"/>
      <c r="AIS114" s="5"/>
      <c r="AIT114" s="5"/>
      <c r="AIU114" s="5"/>
      <c r="AIV114" s="5"/>
      <c r="AIW114" s="5"/>
      <c r="AIX114" s="5"/>
      <c r="AIY114" s="5"/>
      <c r="AIZ114" s="5"/>
      <c r="AJA114" s="5"/>
      <c r="AJB114" s="5"/>
      <c r="AJC114" s="5"/>
      <c r="AJD114" s="5"/>
      <c r="AJE114" s="5"/>
      <c r="AJF114" s="5"/>
      <c r="AJG114" s="5"/>
      <c r="AJH114" s="5"/>
      <c r="AJI114" s="5"/>
      <c r="AJJ114" s="5"/>
      <c r="AJK114" s="5"/>
      <c r="AJL114" s="5"/>
      <c r="AJM114" s="5"/>
      <c r="AJN114" s="5"/>
      <c r="AJO114" s="5"/>
      <c r="AJP114" s="5"/>
      <c r="AJQ114" s="5"/>
      <c r="AJR114" s="5"/>
      <c r="AJS114" s="5"/>
      <c r="AJT114" s="5"/>
      <c r="AJU114" s="5"/>
      <c r="AJV114" s="5"/>
      <c r="AJW114" s="5"/>
      <c r="AJX114" s="5"/>
      <c r="AJY114" s="5"/>
      <c r="AJZ114" s="5"/>
      <c r="AKA114" s="5"/>
      <c r="AKB114" s="5"/>
      <c r="AKC114" s="5"/>
      <c r="AKD114" s="5"/>
      <c r="AKE114" s="5"/>
      <c r="AKF114" s="5"/>
      <c r="AKG114" s="5"/>
      <c r="AKH114" s="5"/>
      <c r="AKI114" s="5"/>
      <c r="AKJ114" s="5"/>
      <c r="AKK114" s="5"/>
      <c r="AKL114" s="5"/>
      <c r="AKM114" s="5"/>
      <c r="AKN114" s="5"/>
      <c r="AKO114" s="5"/>
      <c r="AKP114" s="5"/>
      <c r="AKQ114" s="5"/>
      <c r="AKR114" s="5"/>
      <c r="AKS114" s="5"/>
      <c r="AKT114" s="5"/>
      <c r="AKU114" s="5"/>
      <c r="AKV114" s="5"/>
      <c r="AKW114" s="5"/>
      <c r="AKX114" s="5"/>
      <c r="AKY114" s="5"/>
      <c r="AKZ114" s="5"/>
      <c r="ALA114" s="5"/>
      <c r="ALB114" s="5"/>
      <c r="ALC114" s="5"/>
      <c r="ALD114" s="5"/>
      <c r="ALE114" s="5"/>
      <c r="ALF114" s="5"/>
      <c r="ALG114" s="5"/>
      <c r="ALH114" s="5"/>
      <c r="ALI114" s="5"/>
      <c r="ALJ114" s="5"/>
      <c r="ALK114" s="5"/>
      <c r="ALL114" s="5"/>
      <c r="ALM114" s="5"/>
      <c r="ALN114" s="5"/>
      <c r="ALO114" s="5"/>
      <c r="ALP114" s="5"/>
      <c r="ALQ114" s="5"/>
      <c r="ALR114" s="5"/>
      <c r="ALS114" s="5"/>
      <c r="ALT114" s="5"/>
      <c r="ALU114" s="5"/>
      <c r="ALV114" s="5"/>
      <c r="ALW114" s="5"/>
      <c r="ALX114" s="5"/>
      <c r="ALY114" s="5"/>
      <c r="ALZ114" s="5"/>
      <c r="AMA114" s="5"/>
      <c r="AMB114" s="5"/>
      <c r="AMC114" s="5"/>
    </row>
    <row r="115" spans="1:1017" s="676" customFormat="1" x14ac:dyDescent="0.2">
      <c r="A115" s="682"/>
      <c r="B115" s="682" t="s">
        <v>642</v>
      </c>
      <c r="C115" s="682"/>
      <c r="D115" s="682"/>
      <c r="E115" s="682"/>
      <c r="F115" s="682"/>
      <c r="G115" s="718"/>
      <c r="H115" s="718"/>
      <c r="I115" s="690"/>
      <c r="J115" s="720">
        <v>2284.5</v>
      </c>
      <c r="K115" s="718"/>
      <c r="L115" s="690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  <c r="AEP115" s="5"/>
      <c r="AEQ115" s="5"/>
      <c r="AER115" s="5"/>
      <c r="AES115" s="5"/>
      <c r="AET115" s="5"/>
      <c r="AEU115" s="5"/>
      <c r="AEV115" s="5"/>
      <c r="AEW115" s="5"/>
      <c r="AEX115" s="5"/>
      <c r="AEY115" s="5"/>
      <c r="AEZ115" s="5"/>
      <c r="AFA115" s="5"/>
      <c r="AFB115" s="5"/>
      <c r="AFC115" s="5"/>
      <c r="AFD115" s="5"/>
      <c r="AFE115" s="5"/>
      <c r="AFF115" s="5"/>
      <c r="AFG115" s="5"/>
      <c r="AFH115" s="5"/>
      <c r="AFI115" s="5"/>
      <c r="AFJ115" s="5"/>
      <c r="AFK115" s="5"/>
      <c r="AFL115" s="5"/>
      <c r="AFM115" s="5"/>
      <c r="AFN115" s="5"/>
      <c r="AFO115" s="5"/>
      <c r="AFP115" s="5"/>
      <c r="AFQ115" s="5"/>
      <c r="AFR115" s="5"/>
      <c r="AFS115" s="5"/>
      <c r="AFT115" s="5"/>
      <c r="AFU115" s="5"/>
      <c r="AFV115" s="5"/>
      <c r="AFW115" s="5"/>
      <c r="AFX115" s="5"/>
      <c r="AFY115" s="5"/>
      <c r="AFZ115" s="5"/>
      <c r="AGA115" s="5"/>
      <c r="AGB115" s="5"/>
      <c r="AGC115" s="5"/>
      <c r="AGD115" s="5"/>
      <c r="AGE115" s="5"/>
      <c r="AGF115" s="5"/>
      <c r="AGG115" s="5"/>
      <c r="AGH115" s="5"/>
      <c r="AGI115" s="5"/>
      <c r="AGJ115" s="5"/>
      <c r="AGK115" s="5"/>
      <c r="AGL115" s="5"/>
      <c r="AGM115" s="5"/>
      <c r="AGN115" s="5"/>
      <c r="AGO115" s="5"/>
      <c r="AGP115" s="5"/>
      <c r="AGQ115" s="5"/>
      <c r="AGR115" s="5"/>
      <c r="AGS115" s="5"/>
      <c r="AGT115" s="5"/>
      <c r="AGU115" s="5"/>
      <c r="AGV115" s="5"/>
      <c r="AGW115" s="5"/>
      <c r="AGX115" s="5"/>
      <c r="AGY115" s="5"/>
      <c r="AGZ115" s="5"/>
      <c r="AHA115" s="5"/>
      <c r="AHB115" s="5"/>
      <c r="AHC115" s="5"/>
      <c r="AHD115" s="5"/>
      <c r="AHE115" s="5"/>
      <c r="AHF115" s="5"/>
      <c r="AHG115" s="5"/>
      <c r="AHH115" s="5"/>
      <c r="AHI115" s="5"/>
      <c r="AHJ115" s="5"/>
      <c r="AHK115" s="5"/>
      <c r="AHL115" s="5"/>
      <c r="AHM115" s="5"/>
      <c r="AHN115" s="5"/>
      <c r="AHO115" s="5"/>
      <c r="AHP115" s="5"/>
      <c r="AHQ115" s="5"/>
      <c r="AHR115" s="5"/>
      <c r="AHS115" s="5"/>
      <c r="AHT115" s="5"/>
      <c r="AHU115" s="5"/>
      <c r="AHV115" s="5"/>
      <c r="AHW115" s="5"/>
      <c r="AHX115" s="5"/>
      <c r="AHY115" s="5"/>
      <c r="AHZ115" s="5"/>
      <c r="AIA115" s="5"/>
      <c r="AIB115" s="5"/>
      <c r="AIC115" s="5"/>
      <c r="AID115" s="5"/>
      <c r="AIE115" s="5"/>
      <c r="AIF115" s="5"/>
      <c r="AIG115" s="5"/>
      <c r="AIH115" s="5"/>
      <c r="AII115" s="5"/>
      <c r="AIJ115" s="5"/>
      <c r="AIK115" s="5"/>
      <c r="AIL115" s="5"/>
      <c r="AIM115" s="5"/>
      <c r="AIN115" s="5"/>
      <c r="AIO115" s="5"/>
      <c r="AIP115" s="5"/>
      <c r="AIQ115" s="5"/>
      <c r="AIR115" s="5"/>
      <c r="AIS115" s="5"/>
      <c r="AIT115" s="5"/>
      <c r="AIU115" s="5"/>
      <c r="AIV115" s="5"/>
      <c r="AIW115" s="5"/>
      <c r="AIX115" s="5"/>
      <c r="AIY115" s="5"/>
      <c r="AIZ115" s="5"/>
      <c r="AJA115" s="5"/>
      <c r="AJB115" s="5"/>
      <c r="AJC115" s="5"/>
      <c r="AJD115" s="5"/>
      <c r="AJE115" s="5"/>
      <c r="AJF115" s="5"/>
      <c r="AJG115" s="5"/>
      <c r="AJH115" s="5"/>
      <c r="AJI115" s="5"/>
      <c r="AJJ115" s="5"/>
      <c r="AJK115" s="5"/>
      <c r="AJL115" s="5"/>
      <c r="AJM115" s="5"/>
      <c r="AJN115" s="5"/>
      <c r="AJO115" s="5"/>
      <c r="AJP115" s="5"/>
      <c r="AJQ115" s="5"/>
      <c r="AJR115" s="5"/>
      <c r="AJS115" s="5"/>
      <c r="AJT115" s="5"/>
      <c r="AJU115" s="5"/>
      <c r="AJV115" s="5"/>
      <c r="AJW115" s="5"/>
      <c r="AJX115" s="5"/>
      <c r="AJY115" s="5"/>
      <c r="AJZ115" s="5"/>
      <c r="AKA115" s="5"/>
      <c r="AKB115" s="5"/>
      <c r="AKC115" s="5"/>
      <c r="AKD115" s="5"/>
      <c r="AKE115" s="5"/>
      <c r="AKF115" s="5"/>
      <c r="AKG115" s="5"/>
      <c r="AKH115" s="5"/>
      <c r="AKI115" s="5"/>
      <c r="AKJ115" s="5"/>
      <c r="AKK115" s="5"/>
      <c r="AKL115" s="5"/>
      <c r="AKM115" s="5"/>
      <c r="AKN115" s="5"/>
      <c r="AKO115" s="5"/>
      <c r="AKP115" s="5"/>
      <c r="AKQ115" s="5"/>
      <c r="AKR115" s="5"/>
      <c r="AKS115" s="5"/>
      <c r="AKT115" s="5"/>
      <c r="AKU115" s="5"/>
      <c r="AKV115" s="5"/>
      <c r="AKW115" s="5"/>
      <c r="AKX115" s="5"/>
      <c r="AKY115" s="5"/>
      <c r="AKZ115" s="5"/>
      <c r="ALA115" s="5"/>
      <c r="ALB115" s="5"/>
      <c r="ALC115" s="5"/>
      <c r="ALD115" s="5"/>
      <c r="ALE115" s="5"/>
      <c r="ALF115" s="5"/>
      <c r="ALG115" s="5"/>
      <c r="ALH115" s="5"/>
      <c r="ALI115" s="5"/>
      <c r="ALJ115" s="5"/>
      <c r="ALK115" s="5"/>
      <c r="ALL115" s="5"/>
      <c r="ALM115" s="5"/>
      <c r="ALN115" s="5"/>
      <c r="ALO115" s="5"/>
      <c r="ALP115" s="5"/>
      <c r="ALQ115" s="5"/>
      <c r="ALR115" s="5"/>
      <c r="ALS115" s="5"/>
      <c r="ALT115" s="5"/>
      <c r="ALU115" s="5"/>
      <c r="ALV115" s="5"/>
      <c r="ALW115" s="5"/>
      <c r="ALX115" s="5"/>
      <c r="ALY115" s="5"/>
      <c r="ALZ115" s="5"/>
      <c r="AMA115" s="5"/>
      <c r="AMB115" s="5"/>
      <c r="AMC115" s="5"/>
    </row>
    <row r="116" spans="1:1017" s="676" customFormat="1" x14ac:dyDescent="0.2">
      <c r="A116" s="682"/>
      <c r="B116" s="682" t="s">
        <v>646</v>
      </c>
      <c r="C116" s="682"/>
      <c r="D116" s="682"/>
      <c r="E116" s="682"/>
      <c r="F116" s="682"/>
      <c r="G116" s="718"/>
      <c r="H116" s="718"/>
      <c r="I116" s="690"/>
      <c r="J116" s="720">
        <v>5335</v>
      </c>
      <c r="K116" s="718"/>
      <c r="L116" s="690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  <c r="ACA116" s="5"/>
      <c r="ACB116" s="5"/>
      <c r="ACC116" s="5"/>
      <c r="ACD116" s="5"/>
      <c r="ACE116" s="5"/>
      <c r="ACF116" s="5"/>
      <c r="ACG116" s="5"/>
      <c r="ACH116" s="5"/>
      <c r="ACI116" s="5"/>
      <c r="ACJ116" s="5"/>
      <c r="ACK116" s="5"/>
      <c r="ACL116" s="5"/>
      <c r="ACM116" s="5"/>
      <c r="ACN116" s="5"/>
      <c r="ACO116" s="5"/>
      <c r="ACP116" s="5"/>
      <c r="ACQ116" s="5"/>
      <c r="ACR116" s="5"/>
      <c r="ACS116" s="5"/>
      <c r="ACT116" s="5"/>
      <c r="ACU116" s="5"/>
      <c r="ACV116" s="5"/>
      <c r="ACW116" s="5"/>
      <c r="ACX116" s="5"/>
      <c r="ACY116" s="5"/>
      <c r="ACZ116" s="5"/>
      <c r="ADA116" s="5"/>
      <c r="ADB116" s="5"/>
      <c r="ADC116" s="5"/>
      <c r="ADD116" s="5"/>
      <c r="ADE116" s="5"/>
      <c r="ADF116" s="5"/>
      <c r="ADG116" s="5"/>
      <c r="ADH116" s="5"/>
      <c r="ADI116" s="5"/>
      <c r="ADJ116" s="5"/>
      <c r="ADK116" s="5"/>
      <c r="ADL116" s="5"/>
      <c r="ADM116" s="5"/>
      <c r="ADN116" s="5"/>
      <c r="ADO116" s="5"/>
      <c r="ADP116" s="5"/>
      <c r="ADQ116" s="5"/>
      <c r="ADR116" s="5"/>
      <c r="ADS116" s="5"/>
      <c r="ADT116" s="5"/>
      <c r="ADU116" s="5"/>
      <c r="ADV116" s="5"/>
      <c r="ADW116" s="5"/>
      <c r="ADX116" s="5"/>
      <c r="ADY116" s="5"/>
      <c r="ADZ116" s="5"/>
      <c r="AEA116" s="5"/>
      <c r="AEB116" s="5"/>
      <c r="AEC116" s="5"/>
      <c r="AED116" s="5"/>
      <c r="AEE116" s="5"/>
      <c r="AEF116" s="5"/>
      <c r="AEG116" s="5"/>
      <c r="AEH116" s="5"/>
      <c r="AEI116" s="5"/>
      <c r="AEJ116" s="5"/>
      <c r="AEK116" s="5"/>
      <c r="AEL116" s="5"/>
      <c r="AEM116" s="5"/>
      <c r="AEN116" s="5"/>
      <c r="AEO116" s="5"/>
      <c r="AEP116" s="5"/>
      <c r="AEQ116" s="5"/>
      <c r="AER116" s="5"/>
      <c r="AES116" s="5"/>
      <c r="AET116" s="5"/>
      <c r="AEU116" s="5"/>
      <c r="AEV116" s="5"/>
      <c r="AEW116" s="5"/>
      <c r="AEX116" s="5"/>
      <c r="AEY116" s="5"/>
      <c r="AEZ116" s="5"/>
      <c r="AFA116" s="5"/>
      <c r="AFB116" s="5"/>
      <c r="AFC116" s="5"/>
      <c r="AFD116" s="5"/>
      <c r="AFE116" s="5"/>
      <c r="AFF116" s="5"/>
      <c r="AFG116" s="5"/>
      <c r="AFH116" s="5"/>
      <c r="AFI116" s="5"/>
      <c r="AFJ116" s="5"/>
      <c r="AFK116" s="5"/>
      <c r="AFL116" s="5"/>
      <c r="AFM116" s="5"/>
      <c r="AFN116" s="5"/>
      <c r="AFO116" s="5"/>
      <c r="AFP116" s="5"/>
      <c r="AFQ116" s="5"/>
      <c r="AFR116" s="5"/>
      <c r="AFS116" s="5"/>
      <c r="AFT116" s="5"/>
      <c r="AFU116" s="5"/>
      <c r="AFV116" s="5"/>
      <c r="AFW116" s="5"/>
      <c r="AFX116" s="5"/>
      <c r="AFY116" s="5"/>
      <c r="AFZ116" s="5"/>
      <c r="AGA116" s="5"/>
      <c r="AGB116" s="5"/>
      <c r="AGC116" s="5"/>
      <c r="AGD116" s="5"/>
      <c r="AGE116" s="5"/>
      <c r="AGF116" s="5"/>
      <c r="AGG116" s="5"/>
      <c r="AGH116" s="5"/>
      <c r="AGI116" s="5"/>
      <c r="AGJ116" s="5"/>
      <c r="AGK116" s="5"/>
      <c r="AGL116" s="5"/>
      <c r="AGM116" s="5"/>
      <c r="AGN116" s="5"/>
      <c r="AGO116" s="5"/>
      <c r="AGP116" s="5"/>
      <c r="AGQ116" s="5"/>
      <c r="AGR116" s="5"/>
      <c r="AGS116" s="5"/>
      <c r="AGT116" s="5"/>
      <c r="AGU116" s="5"/>
      <c r="AGV116" s="5"/>
      <c r="AGW116" s="5"/>
      <c r="AGX116" s="5"/>
      <c r="AGY116" s="5"/>
      <c r="AGZ116" s="5"/>
      <c r="AHA116" s="5"/>
      <c r="AHB116" s="5"/>
      <c r="AHC116" s="5"/>
      <c r="AHD116" s="5"/>
      <c r="AHE116" s="5"/>
      <c r="AHF116" s="5"/>
      <c r="AHG116" s="5"/>
      <c r="AHH116" s="5"/>
      <c r="AHI116" s="5"/>
      <c r="AHJ116" s="5"/>
      <c r="AHK116" s="5"/>
      <c r="AHL116" s="5"/>
      <c r="AHM116" s="5"/>
      <c r="AHN116" s="5"/>
      <c r="AHO116" s="5"/>
      <c r="AHP116" s="5"/>
      <c r="AHQ116" s="5"/>
      <c r="AHR116" s="5"/>
      <c r="AHS116" s="5"/>
      <c r="AHT116" s="5"/>
      <c r="AHU116" s="5"/>
      <c r="AHV116" s="5"/>
      <c r="AHW116" s="5"/>
      <c r="AHX116" s="5"/>
      <c r="AHY116" s="5"/>
      <c r="AHZ116" s="5"/>
      <c r="AIA116" s="5"/>
      <c r="AIB116" s="5"/>
      <c r="AIC116" s="5"/>
      <c r="AID116" s="5"/>
      <c r="AIE116" s="5"/>
      <c r="AIF116" s="5"/>
      <c r="AIG116" s="5"/>
      <c r="AIH116" s="5"/>
      <c r="AII116" s="5"/>
      <c r="AIJ116" s="5"/>
      <c r="AIK116" s="5"/>
      <c r="AIL116" s="5"/>
      <c r="AIM116" s="5"/>
      <c r="AIN116" s="5"/>
      <c r="AIO116" s="5"/>
      <c r="AIP116" s="5"/>
      <c r="AIQ116" s="5"/>
      <c r="AIR116" s="5"/>
      <c r="AIS116" s="5"/>
      <c r="AIT116" s="5"/>
      <c r="AIU116" s="5"/>
      <c r="AIV116" s="5"/>
      <c r="AIW116" s="5"/>
      <c r="AIX116" s="5"/>
      <c r="AIY116" s="5"/>
      <c r="AIZ116" s="5"/>
      <c r="AJA116" s="5"/>
      <c r="AJB116" s="5"/>
      <c r="AJC116" s="5"/>
      <c r="AJD116" s="5"/>
      <c r="AJE116" s="5"/>
      <c r="AJF116" s="5"/>
      <c r="AJG116" s="5"/>
      <c r="AJH116" s="5"/>
      <c r="AJI116" s="5"/>
      <c r="AJJ116" s="5"/>
      <c r="AJK116" s="5"/>
      <c r="AJL116" s="5"/>
      <c r="AJM116" s="5"/>
      <c r="AJN116" s="5"/>
      <c r="AJO116" s="5"/>
      <c r="AJP116" s="5"/>
      <c r="AJQ116" s="5"/>
      <c r="AJR116" s="5"/>
      <c r="AJS116" s="5"/>
      <c r="AJT116" s="5"/>
      <c r="AJU116" s="5"/>
      <c r="AJV116" s="5"/>
      <c r="AJW116" s="5"/>
      <c r="AJX116" s="5"/>
      <c r="AJY116" s="5"/>
      <c r="AJZ116" s="5"/>
      <c r="AKA116" s="5"/>
      <c r="AKB116" s="5"/>
      <c r="AKC116" s="5"/>
      <c r="AKD116" s="5"/>
      <c r="AKE116" s="5"/>
      <c r="AKF116" s="5"/>
      <c r="AKG116" s="5"/>
      <c r="AKH116" s="5"/>
      <c r="AKI116" s="5"/>
      <c r="AKJ116" s="5"/>
      <c r="AKK116" s="5"/>
      <c r="AKL116" s="5"/>
      <c r="AKM116" s="5"/>
      <c r="AKN116" s="5"/>
      <c r="AKO116" s="5"/>
      <c r="AKP116" s="5"/>
      <c r="AKQ116" s="5"/>
      <c r="AKR116" s="5"/>
      <c r="AKS116" s="5"/>
      <c r="AKT116" s="5"/>
      <c r="AKU116" s="5"/>
      <c r="AKV116" s="5"/>
      <c r="AKW116" s="5"/>
      <c r="AKX116" s="5"/>
      <c r="AKY116" s="5"/>
      <c r="AKZ116" s="5"/>
      <c r="ALA116" s="5"/>
      <c r="ALB116" s="5"/>
      <c r="ALC116" s="5"/>
      <c r="ALD116" s="5"/>
      <c r="ALE116" s="5"/>
      <c r="ALF116" s="5"/>
      <c r="ALG116" s="5"/>
      <c r="ALH116" s="5"/>
      <c r="ALI116" s="5"/>
      <c r="ALJ116" s="5"/>
      <c r="ALK116" s="5"/>
      <c r="ALL116" s="5"/>
      <c r="ALM116" s="5"/>
      <c r="ALN116" s="5"/>
      <c r="ALO116" s="5"/>
      <c r="ALP116" s="5"/>
      <c r="ALQ116" s="5"/>
      <c r="ALR116" s="5"/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</row>
    <row r="117" spans="1:1017" s="5" customFormat="1" ht="12.75" x14ac:dyDescent="0.2">
      <c r="A117" s="682"/>
      <c r="B117" s="682" t="s">
        <v>647</v>
      </c>
      <c r="C117" s="682"/>
      <c r="D117" s="682"/>
      <c r="E117" s="682"/>
      <c r="F117" s="682"/>
      <c r="G117" s="718">
        <v>30000</v>
      </c>
      <c r="H117" s="718">
        <v>40476.35</v>
      </c>
      <c r="I117" s="690"/>
      <c r="J117" s="721">
        <v>250</v>
      </c>
      <c r="K117" s="718"/>
      <c r="L117" s="690"/>
    </row>
    <row r="118" spans="1:1017" s="569" customFormat="1" x14ac:dyDescent="0.2">
      <c r="A118" s="682"/>
      <c r="B118" s="682" t="s">
        <v>648</v>
      </c>
      <c r="C118" s="682"/>
      <c r="D118" s="682"/>
      <c r="E118" s="682"/>
      <c r="F118" s="682"/>
      <c r="G118" s="718">
        <v>2500</v>
      </c>
      <c r="H118" s="718">
        <v>2957.15</v>
      </c>
      <c r="I118" s="690"/>
      <c r="J118" s="721">
        <v>1619.17</v>
      </c>
      <c r="K118" s="718"/>
      <c r="L118" s="690"/>
      <c r="M118" s="5" t="s">
        <v>649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  <c r="UE118" s="5"/>
      <c r="UF118" s="5"/>
      <c r="UG118" s="5"/>
      <c r="UH118" s="5"/>
      <c r="UI118" s="5"/>
      <c r="UJ118" s="5"/>
      <c r="UK118" s="5"/>
      <c r="UL118" s="5"/>
      <c r="UM118" s="5"/>
      <c r="UN118" s="5"/>
      <c r="UO118" s="5"/>
      <c r="UP118" s="5"/>
      <c r="UQ118" s="5"/>
      <c r="UR118" s="5"/>
      <c r="US118" s="5"/>
      <c r="UT118" s="5"/>
      <c r="UU118" s="5"/>
      <c r="UV118" s="5"/>
      <c r="UW118" s="5"/>
      <c r="UX118" s="5"/>
      <c r="UY118" s="5"/>
      <c r="UZ118" s="5"/>
      <c r="VA118" s="5"/>
      <c r="VB118" s="5"/>
      <c r="VC118" s="5"/>
      <c r="VD118" s="5"/>
      <c r="VE118" s="5"/>
      <c r="VF118" s="5"/>
      <c r="VG118" s="5"/>
      <c r="VH118" s="5"/>
      <c r="VI118" s="5"/>
      <c r="VJ118" s="5"/>
      <c r="VK118" s="5"/>
      <c r="VL118" s="5"/>
      <c r="VM118" s="5"/>
      <c r="VN118" s="5"/>
      <c r="VO118" s="5"/>
      <c r="VP118" s="5"/>
      <c r="VQ118" s="5"/>
      <c r="VR118" s="5"/>
      <c r="VS118" s="5"/>
      <c r="VT118" s="5"/>
      <c r="VU118" s="5"/>
      <c r="VV118" s="5"/>
      <c r="VW118" s="5"/>
      <c r="VX118" s="5"/>
      <c r="VY118" s="5"/>
      <c r="VZ118" s="5"/>
      <c r="WA118" s="5"/>
      <c r="WB118" s="5"/>
      <c r="WC118" s="5"/>
      <c r="WD118" s="5"/>
      <c r="WE118" s="5"/>
      <c r="WF118" s="5"/>
      <c r="WG118" s="5"/>
      <c r="WH118" s="5"/>
      <c r="WI118" s="5"/>
      <c r="WJ118" s="5"/>
      <c r="WK118" s="5"/>
      <c r="WL118" s="5"/>
      <c r="WM118" s="5"/>
      <c r="WN118" s="5"/>
      <c r="WO118" s="5"/>
      <c r="WP118" s="5"/>
      <c r="WQ118" s="5"/>
      <c r="WR118" s="5"/>
      <c r="WS118" s="5"/>
      <c r="WT118" s="5"/>
      <c r="WU118" s="5"/>
      <c r="WV118" s="5"/>
      <c r="WW118" s="5"/>
      <c r="WX118" s="5"/>
      <c r="WY118" s="5"/>
      <c r="WZ118" s="5"/>
      <c r="XA118" s="5"/>
      <c r="XB118" s="5"/>
      <c r="XC118" s="5"/>
      <c r="XD118" s="5"/>
      <c r="XE118" s="5"/>
      <c r="XF118" s="5"/>
      <c r="XG118" s="5"/>
      <c r="XH118" s="5"/>
      <c r="XI118" s="5"/>
      <c r="XJ118" s="5"/>
      <c r="XK118" s="5"/>
      <c r="XL118" s="5"/>
      <c r="XM118" s="5"/>
      <c r="XN118" s="5"/>
      <c r="XO118" s="5"/>
      <c r="XP118" s="5"/>
      <c r="XQ118" s="5"/>
      <c r="XR118" s="5"/>
      <c r="XS118" s="5"/>
      <c r="XT118" s="5"/>
      <c r="XU118" s="5"/>
      <c r="XV118" s="5"/>
      <c r="XW118" s="5"/>
      <c r="XX118" s="5"/>
      <c r="XY118" s="5"/>
      <c r="XZ118" s="5"/>
      <c r="YA118" s="5"/>
      <c r="YB118" s="5"/>
      <c r="YC118" s="5"/>
      <c r="YD118" s="5"/>
      <c r="YE118" s="5"/>
      <c r="YF118" s="5"/>
      <c r="YG118" s="5"/>
      <c r="YH118" s="5"/>
      <c r="YI118" s="5"/>
      <c r="YJ118" s="5"/>
      <c r="YK118" s="5"/>
      <c r="YL118" s="5"/>
      <c r="YM118" s="5"/>
      <c r="YN118" s="5"/>
      <c r="YO118" s="5"/>
      <c r="YP118" s="5"/>
      <c r="YQ118" s="5"/>
      <c r="YR118" s="5"/>
      <c r="YS118" s="5"/>
      <c r="YT118" s="5"/>
      <c r="YU118" s="5"/>
      <c r="YV118" s="5"/>
      <c r="YW118" s="5"/>
      <c r="YX118" s="5"/>
      <c r="YY118" s="5"/>
      <c r="YZ118" s="5"/>
      <c r="ZA118" s="5"/>
      <c r="ZB118" s="5"/>
      <c r="ZC118" s="5"/>
      <c r="ZD118" s="5"/>
      <c r="ZE118" s="5"/>
      <c r="ZF118" s="5"/>
      <c r="ZG118" s="5"/>
      <c r="ZH118" s="5"/>
      <c r="ZI118" s="5"/>
      <c r="ZJ118" s="5"/>
      <c r="ZK118" s="5"/>
      <c r="ZL118" s="5"/>
      <c r="ZM118" s="5"/>
      <c r="ZN118" s="5"/>
      <c r="ZO118" s="5"/>
      <c r="ZP118" s="5"/>
      <c r="ZQ118" s="5"/>
      <c r="ZR118" s="5"/>
      <c r="ZS118" s="5"/>
      <c r="ZT118" s="5"/>
      <c r="ZU118" s="5"/>
      <c r="ZV118" s="5"/>
      <c r="ZW118" s="5"/>
      <c r="ZX118" s="5"/>
      <c r="ZY118" s="5"/>
      <c r="ZZ118" s="5"/>
      <c r="AAA118" s="5"/>
      <c r="AAB118" s="5"/>
      <c r="AAC118" s="5"/>
      <c r="AAD118" s="5"/>
      <c r="AAE118" s="5"/>
      <c r="AAF118" s="5"/>
      <c r="AAG118" s="5"/>
      <c r="AAH118" s="5"/>
      <c r="AAI118" s="5"/>
      <c r="AAJ118" s="5"/>
      <c r="AAK118" s="5"/>
      <c r="AAL118" s="5"/>
      <c r="AAM118" s="5"/>
      <c r="AAN118" s="5"/>
      <c r="AAO118" s="5"/>
      <c r="AAP118" s="5"/>
      <c r="AAQ118" s="5"/>
      <c r="AAR118" s="5"/>
      <c r="AAS118" s="5"/>
      <c r="AAT118" s="5"/>
      <c r="AAU118" s="5"/>
      <c r="AAV118" s="5"/>
      <c r="AAW118" s="5"/>
      <c r="AAX118" s="5"/>
      <c r="AAY118" s="5"/>
      <c r="AAZ118" s="5"/>
      <c r="ABA118" s="5"/>
      <c r="ABB118" s="5"/>
      <c r="ABC118" s="5"/>
      <c r="ABD118" s="5"/>
      <c r="ABE118" s="5"/>
      <c r="ABF118" s="5"/>
      <c r="ABG118" s="5"/>
      <c r="ABH118" s="5"/>
      <c r="ABI118" s="5"/>
      <c r="ABJ118" s="5"/>
      <c r="ABK118" s="5"/>
      <c r="ABL118" s="5"/>
      <c r="ABM118" s="5"/>
      <c r="ABN118" s="5"/>
      <c r="ABO118" s="5"/>
      <c r="ABP118" s="5"/>
      <c r="ABQ118" s="5"/>
      <c r="ABR118" s="5"/>
      <c r="ABS118" s="5"/>
      <c r="ABT118" s="5"/>
      <c r="ABU118" s="5"/>
      <c r="ABV118" s="5"/>
      <c r="ABW118" s="5"/>
      <c r="ABX118" s="5"/>
      <c r="ABY118" s="5"/>
      <c r="ABZ118" s="5"/>
      <c r="ACA118" s="5"/>
      <c r="ACB118" s="5"/>
      <c r="ACC118" s="5"/>
      <c r="ACD118" s="5"/>
      <c r="ACE118" s="5"/>
      <c r="ACF118" s="5"/>
      <c r="ACG118" s="5"/>
      <c r="ACH118" s="5"/>
      <c r="ACI118" s="5"/>
      <c r="ACJ118" s="5"/>
      <c r="ACK118" s="5"/>
      <c r="ACL118" s="5"/>
      <c r="ACM118" s="5"/>
      <c r="ACN118" s="5"/>
      <c r="ACO118" s="5"/>
      <c r="ACP118" s="5"/>
      <c r="ACQ118" s="5"/>
      <c r="ACR118" s="5"/>
      <c r="ACS118" s="5"/>
      <c r="ACT118" s="5"/>
      <c r="ACU118" s="5"/>
      <c r="ACV118" s="5"/>
      <c r="ACW118" s="5"/>
      <c r="ACX118" s="5"/>
      <c r="ACY118" s="5"/>
      <c r="ACZ118" s="5"/>
      <c r="ADA118" s="5"/>
      <c r="ADB118" s="5"/>
      <c r="ADC118" s="5"/>
      <c r="ADD118" s="5"/>
      <c r="ADE118" s="5"/>
      <c r="ADF118" s="5"/>
      <c r="ADG118" s="5"/>
      <c r="ADH118" s="5"/>
      <c r="ADI118" s="5"/>
      <c r="ADJ118" s="5"/>
      <c r="ADK118" s="5"/>
      <c r="ADL118" s="5"/>
      <c r="ADM118" s="5"/>
      <c r="ADN118" s="5"/>
      <c r="ADO118" s="5"/>
      <c r="ADP118" s="5"/>
      <c r="ADQ118" s="5"/>
      <c r="ADR118" s="5"/>
      <c r="ADS118" s="5"/>
      <c r="ADT118" s="5"/>
      <c r="ADU118" s="5"/>
      <c r="ADV118" s="5"/>
      <c r="ADW118" s="5"/>
      <c r="ADX118" s="5"/>
      <c r="ADY118" s="5"/>
      <c r="ADZ118" s="5"/>
      <c r="AEA118" s="5"/>
      <c r="AEB118" s="5"/>
      <c r="AEC118" s="5"/>
      <c r="AED118" s="5"/>
      <c r="AEE118" s="5"/>
      <c r="AEF118" s="5"/>
      <c r="AEG118" s="5"/>
      <c r="AEH118" s="5"/>
      <c r="AEI118" s="5"/>
      <c r="AEJ118" s="5"/>
      <c r="AEK118" s="5"/>
      <c r="AEL118" s="5"/>
      <c r="AEM118" s="5"/>
      <c r="AEN118" s="5"/>
      <c r="AEO118" s="5"/>
      <c r="AEP118" s="5"/>
      <c r="AEQ118" s="5"/>
      <c r="AER118" s="5"/>
      <c r="AES118" s="5"/>
      <c r="AET118" s="5"/>
      <c r="AEU118" s="5"/>
      <c r="AEV118" s="5"/>
      <c r="AEW118" s="5"/>
      <c r="AEX118" s="5"/>
      <c r="AEY118" s="5"/>
      <c r="AEZ118" s="5"/>
      <c r="AFA118" s="5"/>
      <c r="AFB118" s="5"/>
      <c r="AFC118" s="5"/>
      <c r="AFD118" s="5"/>
      <c r="AFE118" s="5"/>
      <c r="AFF118" s="5"/>
      <c r="AFG118" s="5"/>
      <c r="AFH118" s="5"/>
      <c r="AFI118" s="5"/>
      <c r="AFJ118" s="5"/>
      <c r="AFK118" s="5"/>
      <c r="AFL118" s="5"/>
      <c r="AFM118" s="5"/>
      <c r="AFN118" s="5"/>
      <c r="AFO118" s="5"/>
      <c r="AFP118" s="5"/>
      <c r="AFQ118" s="5"/>
      <c r="AFR118" s="5"/>
      <c r="AFS118" s="5"/>
      <c r="AFT118" s="5"/>
      <c r="AFU118" s="5"/>
      <c r="AFV118" s="5"/>
      <c r="AFW118" s="5"/>
      <c r="AFX118" s="5"/>
      <c r="AFY118" s="5"/>
      <c r="AFZ118" s="5"/>
      <c r="AGA118" s="5"/>
      <c r="AGB118" s="5"/>
      <c r="AGC118" s="5"/>
      <c r="AGD118" s="5"/>
      <c r="AGE118" s="5"/>
      <c r="AGF118" s="5"/>
      <c r="AGG118" s="5"/>
      <c r="AGH118" s="5"/>
      <c r="AGI118" s="5"/>
      <c r="AGJ118" s="5"/>
      <c r="AGK118" s="5"/>
      <c r="AGL118" s="5"/>
      <c r="AGM118" s="5"/>
      <c r="AGN118" s="5"/>
      <c r="AGO118" s="5"/>
      <c r="AGP118" s="5"/>
      <c r="AGQ118" s="5"/>
      <c r="AGR118" s="5"/>
      <c r="AGS118" s="5"/>
      <c r="AGT118" s="5"/>
      <c r="AGU118" s="5"/>
      <c r="AGV118" s="5"/>
      <c r="AGW118" s="5"/>
      <c r="AGX118" s="5"/>
      <c r="AGY118" s="5"/>
      <c r="AGZ118" s="5"/>
      <c r="AHA118" s="5"/>
      <c r="AHB118" s="5"/>
      <c r="AHC118" s="5"/>
      <c r="AHD118" s="5"/>
      <c r="AHE118" s="5"/>
      <c r="AHF118" s="5"/>
      <c r="AHG118" s="5"/>
      <c r="AHH118" s="5"/>
      <c r="AHI118" s="5"/>
      <c r="AHJ118" s="5"/>
      <c r="AHK118" s="5"/>
      <c r="AHL118" s="5"/>
      <c r="AHM118" s="5"/>
      <c r="AHN118" s="5"/>
      <c r="AHO118" s="5"/>
      <c r="AHP118" s="5"/>
      <c r="AHQ118" s="5"/>
      <c r="AHR118" s="5"/>
      <c r="AHS118" s="5"/>
      <c r="AHT118" s="5"/>
      <c r="AHU118" s="5"/>
      <c r="AHV118" s="5"/>
      <c r="AHW118" s="5"/>
      <c r="AHX118" s="5"/>
      <c r="AHY118" s="5"/>
      <c r="AHZ118" s="5"/>
      <c r="AIA118" s="5"/>
      <c r="AIB118" s="5"/>
      <c r="AIC118" s="5"/>
      <c r="AID118" s="5"/>
      <c r="AIE118" s="5"/>
      <c r="AIF118" s="5"/>
      <c r="AIG118" s="5"/>
      <c r="AIH118" s="5"/>
      <c r="AII118" s="5"/>
      <c r="AIJ118" s="5"/>
      <c r="AIK118" s="5"/>
      <c r="AIL118" s="5"/>
      <c r="AIM118" s="5"/>
      <c r="AIN118" s="5"/>
      <c r="AIO118" s="5"/>
      <c r="AIP118" s="5"/>
      <c r="AIQ118" s="5"/>
      <c r="AIR118" s="5"/>
      <c r="AIS118" s="5"/>
      <c r="AIT118" s="5"/>
      <c r="AIU118" s="5"/>
      <c r="AIV118" s="5"/>
      <c r="AIW118" s="5"/>
      <c r="AIX118" s="5"/>
      <c r="AIY118" s="5"/>
      <c r="AIZ118" s="5"/>
      <c r="AJA118" s="5"/>
      <c r="AJB118" s="5"/>
      <c r="AJC118" s="5"/>
      <c r="AJD118" s="5"/>
      <c r="AJE118" s="5"/>
      <c r="AJF118" s="5"/>
      <c r="AJG118" s="5"/>
      <c r="AJH118" s="5"/>
      <c r="AJI118" s="5"/>
      <c r="AJJ118" s="5"/>
      <c r="AJK118" s="5"/>
      <c r="AJL118" s="5"/>
      <c r="AJM118" s="5"/>
      <c r="AJN118" s="5"/>
      <c r="AJO118" s="5"/>
      <c r="AJP118" s="5"/>
      <c r="AJQ118" s="5"/>
      <c r="AJR118" s="5"/>
      <c r="AJS118" s="5"/>
      <c r="AJT118" s="5"/>
      <c r="AJU118" s="5"/>
      <c r="AJV118" s="5"/>
      <c r="AJW118" s="5"/>
      <c r="AJX118" s="5"/>
      <c r="AJY118" s="5"/>
      <c r="AJZ118" s="5"/>
      <c r="AKA118" s="5"/>
      <c r="AKB118" s="5"/>
      <c r="AKC118" s="5"/>
      <c r="AKD118" s="5"/>
      <c r="AKE118" s="5"/>
      <c r="AKF118" s="5"/>
      <c r="AKG118" s="5"/>
      <c r="AKH118" s="5"/>
      <c r="AKI118" s="5"/>
      <c r="AKJ118" s="5"/>
      <c r="AKK118" s="5"/>
      <c r="AKL118" s="5"/>
      <c r="AKM118" s="5"/>
      <c r="AKN118" s="5"/>
      <c r="AKO118" s="5"/>
      <c r="AKP118" s="5"/>
      <c r="AKQ118" s="5"/>
      <c r="AKR118" s="5"/>
      <c r="AKS118" s="5"/>
      <c r="AKT118" s="5"/>
      <c r="AKU118" s="5"/>
      <c r="AKV118" s="5"/>
      <c r="AKW118" s="5"/>
      <c r="AKX118" s="5"/>
      <c r="AKY118" s="5"/>
      <c r="AKZ118" s="5"/>
      <c r="ALA118" s="5"/>
      <c r="ALB118" s="5"/>
      <c r="ALC118" s="5"/>
      <c r="ALD118" s="5"/>
      <c r="ALE118" s="5"/>
      <c r="ALF118" s="5"/>
      <c r="ALG118" s="5"/>
      <c r="ALH118" s="5"/>
      <c r="ALI118" s="5"/>
      <c r="ALJ118" s="5"/>
      <c r="ALK118" s="5"/>
      <c r="ALL118" s="5"/>
      <c r="ALM118" s="5"/>
      <c r="ALN118" s="5"/>
      <c r="ALO118" s="5"/>
      <c r="ALP118" s="5"/>
      <c r="ALQ118" s="5"/>
      <c r="ALR118" s="5"/>
      <c r="ALS118" s="5"/>
      <c r="ALT118" s="5"/>
      <c r="ALU118" s="5"/>
      <c r="ALV118" s="5"/>
      <c r="ALW118" s="5"/>
      <c r="ALX118" s="5"/>
      <c r="ALY118" s="5"/>
      <c r="ALZ118" s="5"/>
      <c r="AMA118" s="5"/>
      <c r="AMB118" s="5"/>
      <c r="AMC118" s="5"/>
    </row>
    <row r="119" spans="1:1017" s="569" customFormat="1" x14ac:dyDescent="0.2">
      <c r="A119" s="682"/>
      <c r="B119" s="682" t="s">
        <v>645</v>
      </c>
      <c r="C119" s="682"/>
      <c r="D119" s="682"/>
      <c r="E119" s="682"/>
      <c r="F119" s="682"/>
      <c r="G119" s="718"/>
      <c r="H119" s="718"/>
      <c r="I119" s="690"/>
      <c r="J119" s="721">
        <v>35574.74</v>
      </c>
      <c r="K119" s="718">
        <v>20000</v>
      </c>
      <c r="L119" s="690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  <c r="AMA119" s="5"/>
      <c r="AMB119" s="5"/>
      <c r="AMC119" s="5"/>
    </row>
    <row r="120" spans="1:1017" s="569" customFormat="1" x14ac:dyDescent="0.2">
      <c r="A120" s="682"/>
      <c r="B120" s="682" t="s">
        <v>650</v>
      </c>
      <c r="C120" s="682"/>
      <c r="D120" s="682"/>
      <c r="E120" s="682"/>
      <c r="F120" s="682"/>
      <c r="G120" s="718"/>
      <c r="H120" s="718"/>
      <c r="I120" s="690"/>
      <c r="J120" s="721"/>
      <c r="K120" s="718">
        <v>50000</v>
      </c>
      <c r="L120" s="690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  <c r="LC120" s="5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5"/>
      <c r="LP120" s="5"/>
      <c r="LQ120" s="5"/>
      <c r="LR120" s="5"/>
      <c r="LS120" s="5"/>
      <c r="LT120" s="5"/>
      <c r="LU120" s="5"/>
      <c r="LV120" s="5"/>
      <c r="LW120" s="5"/>
      <c r="LX120" s="5"/>
      <c r="LY120" s="5"/>
      <c r="LZ120" s="5"/>
      <c r="MA120" s="5"/>
      <c r="MB120" s="5"/>
      <c r="MC120" s="5"/>
      <c r="MD120" s="5"/>
      <c r="ME120" s="5"/>
      <c r="MF120" s="5"/>
      <c r="MG120" s="5"/>
      <c r="MH120" s="5"/>
      <c r="MI120" s="5"/>
      <c r="MJ120" s="5"/>
      <c r="MK120" s="5"/>
      <c r="ML120" s="5"/>
      <c r="MM120" s="5"/>
      <c r="MN120" s="5"/>
      <c r="MO120" s="5"/>
      <c r="MP120" s="5"/>
      <c r="MQ120" s="5"/>
      <c r="MR120" s="5"/>
      <c r="MS120" s="5"/>
      <c r="MT120" s="5"/>
      <c r="MU120" s="5"/>
      <c r="MV120" s="5"/>
      <c r="MW120" s="5"/>
      <c r="MX120" s="5"/>
      <c r="MY120" s="5"/>
      <c r="MZ120" s="5"/>
      <c r="NA120" s="5"/>
      <c r="NB120" s="5"/>
      <c r="NC120" s="5"/>
      <c r="ND120" s="5"/>
      <c r="NE120" s="5"/>
      <c r="NF120" s="5"/>
      <c r="NG120" s="5"/>
      <c r="NH120" s="5"/>
      <c r="NI120" s="5"/>
      <c r="NJ120" s="5"/>
      <c r="NK120" s="5"/>
      <c r="NL120" s="5"/>
      <c r="NM120" s="5"/>
      <c r="NN120" s="5"/>
      <c r="NO120" s="5"/>
      <c r="NP120" s="5"/>
      <c r="NQ120" s="5"/>
      <c r="NR120" s="5"/>
      <c r="NS120" s="5"/>
      <c r="NT120" s="5"/>
      <c r="NU120" s="5"/>
      <c r="NV120" s="5"/>
      <c r="NW120" s="5"/>
      <c r="NX120" s="5"/>
      <c r="NY120" s="5"/>
      <c r="NZ120" s="5"/>
      <c r="OA120" s="5"/>
      <c r="OB120" s="5"/>
      <c r="OC120" s="5"/>
      <c r="OD120" s="5"/>
      <c r="OE120" s="5"/>
      <c r="OF120" s="5"/>
      <c r="OG120" s="5"/>
      <c r="OH120" s="5"/>
      <c r="OI120" s="5"/>
      <c r="OJ120" s="5"/>
      <c r="OK120" s="5"/>
      <c r="OL120" s="5"/>
      <c r="OM120" s="5"/>
      <c r="ON120" s="5"/>
      <c r="OO120" s="5"/>
      <c r="OP120" s="5"/>
      <c r="OQ120" s="5"/>
      <c r="OR120" s="5"/>
      <c r="OS120" s="5"/>
      <c r="OT120" s="5"/>
      <c r="OU120" s="5"/>
      <c r="OV120" s="5"/>
      <c r="OW120" s="5"/>
      <c r="OX120" s="5"/>
      <c r="OY120" s="5"/>
      <c r="OZ120" s="5"/>
      <c r="PA120" s="5"/>
      <c r="PB120" s="5"/>
      <c r="PC120" s="5"/>
      <c r="PD120" s="5"/>
      <c r="PE120" s="5"/>
      <c r="PF120" s="5"/>
      <c r="PG120" s="5"/>
      <c r="PH120" s="5"/>
      <c r="PI120" s="5"/>
      <c r="PJ120" s="5"/>
      <c r="PK120" s="5"/>
      <c r="PL120" s="5"/>
      <c r="PM120" s="5"/>
      <c r="PN120" s="5"/>
      <c r="PO120" s="5"/>
      <c r="PP120" s="5"/>
      <c r="PQ120" s="5"/>
      <c r="PR120" s="5"/>
      <c r="PS120" s="5"/>
      <c r="PT120" s="5"/>
      <c r="PU120" s="5"/>
      <c r="PV120" s="5"/>
      <c r="PW120" s="5"/>
      <c r="PX120" s="5"/>
      <c r="PY120" s="5"/>
      <c r="PZ120" s="5"/>
      <c r="QA120" s="5"/>
      <c r="QB120" s="5"/>
      <c r="QC120" s="5"/>
      <c r="QD120" s="5"/>
      <c r="QE120" s="5"/>
      <c r="QF120" s="5"/>
      <c r="QG120" s="5"/>
      <c r="QH120" s="5"/>
      <c r="QI120" s="5"/>
      <c r="QJ120" s="5"/>
      <c r="QK120" s="5"/>
      <c r="QL120" s="5"/>
      <c r="QM120" s="5"/>
      <c r="QN120" s="5"/>
      <c r="QO120" s="5"/>
      <c r="QP120" s="5"/>
      <c r="QQ120" s="5"/>
      <c r="QR120" s="5"/>
      <c r="QS120" s="5"/>
      <c r="QT120" s="5"/>
      <c r="QU120" s="5"/>
      <c r="QV120" s="5"/>
      <c r="QW120" s="5"/>
      <c r="QX120" s="5"/>
      <c r="QY120" s="5"/>
      <c r="QZ120" s="5"/>
      <c r="RA120" s="5"/>
      <c r="RB120" s="5"/>
      <c r="RC120" s="5"/>
      <c r="RD120" s="5"/>
      <c r="RE120" s="5"/>
      <c r="RF120" s="5"/>
      <c r="RG120" s="5"/>
      <c r="RH120" s="5"/>
      <c r="RI120" s="5"/>
      <c r="RJ120" s="5"/>
      <c r="RK120" s="5"/>
      <c r="RL120" s="5"/>
      <c r="RM120" s="5"/>
      <c r="RN120" s="5"/>
      <c r="RO120" s="5"/>
      <c r="RP120" s="5"/>
      <c r="RQ120" s="5"/>
      <c r="RR120" s="5"/>
      <c r="RS120" s="5"/>
      <c r="RT120" s="5"/>
      <c r="RU120" s="5"/>
      <c r="RV120" s="5"/>
      <c r="RW120" s="5"/>
      <c r="RX120" s="5"/>
      <c r="RY120" s="5"/>
      <c r="RZ120" s="5"/>
      <c r="SA120" s="5"/>
      <c r="SB120" s="5"/>
      <c r="SC120" s="5"/>
      <c r="SD120" s="5"/>
      <c r="SE120" s="5"/>
      <c r="SF120" s="5"/>
      <c r="SG120" s="5"/>
      <c r="SH120" s="5"/>
      <c r="SI120" s="5"/>
      <c r="SJ120" s="5"/>
      <c r="SK120" s="5"/>
      <c r="SL120" s="5"/>
      <c r="SM120" s="5"/>
      <c r="SN120" s="5"/>
      <c r="SO120" s="5"/>
      <c r="SP120" s="5"/>
      <c r="SQ120" s="5"/>
      <c r="SR120" s="5"/>
      <c r="SS120" s="5"/>
      <c r="ST120" s="5"/>
      <c r="SU120" s="5"/>
      <c r="SV120" s="5"/>
      <c r="SW120" s="5"/>
      <c r="SX120" s="5"/>
      <c r="SY120" s="5"/>
      <c r="SZ120" s="5"/>
      <c r="TA120" s="5"/>
      <c r="TB120" s="5"/>
      <c r="TC120" s="5"/>
      <c r="TD120" s="5"/>
      <c r="TE120" s="5"/>
      <c r="TF120" s="5"/>
      <c r="TG120" s="5"/>
      <c r="TH120" s="5"/>
      <c r="TI120" s="5"/>
      <c r="TJ120" s="5"/>
      <c r="TK120" s="5"/>
      <c r="TL120" s="5"/>
      <c r="TM120" s="5"/>
      <c r="TN120" s="5"/>
      <c r="TO120" s="5"/>
      <c r="TP120" s="5"/>
      <c r="TQ120" s="5"/>
      <c r="TR120" s="5"/>
      <c r="TS120" s="5"/>
      <c r="TT120" s="5"/>
      <c r="TU120" s="5"/>
      <c r="TV120" s="5"/>
      <c r="TW120" s="5"/>
      <c r="TX120" s="5"/>
      <c r="TY120" s="5"/>
      <c r="TZ120" s="5"/>
      <c r="UA120" s="5"/>
      <c r="UB120" s="5"/>
      <c r="UC120" s="5"/>
      <c r="UD120" s="5"/>
      <c r="UE120" s="5"/>
      <c r="UF120" s="5"/>
      <c r="UG120" s="5"/>
      <c r="UH120" s="5"/>
      <c r="UI120" s="5"/>
      <c r="UJ120" s="5"/>
      <c r="UK120" s="5"/>
      <c r="UL120" s="5"/>
      <c r="UM120" s="5"/>
      <c r="UN120" s="5"/>
      <c r="UO120" s="5"/>
      <c r="UP120" s="5"/>
      <c r="UQ120" s="5"/>
      <c r="UR120" s="5"/>
      <c r="US120" s="5"/>
      <c r="UT120" s="5"/>
      <c r="UU120" s="5"/>
      <c r="UV120" s="5"/>
      <c r="UW120" s="5"/>
      <c r="UX120" s="5"/>
      <c r="UY120" s="5"/>
      <c r="UZ120" s="5"/>
      <c r="VA120" s="5"/>
      <c r="VB120" s="5"/>
      <c r="VC120" s="5"/>
      <c r="VD120" s="5"/>
      <c r="VE120" s="5"/>
      <c r="VF120" s="5"/>
      <c r="VG120" s="5"/>
      <c r="VH120" s="5"/>
      <c r="VI120" s="5"/>
      <c r="VJ120" s="5"/>
      <c r="VK120" s="5"/>
      <c r="VL120" s="5"/>
      <c r="VM120" s="5"/>
      <c r="VN120" s="5"/>
      <c r="VO120" s="5"/>
      <c r="VP120" s="5"/>
      <c r="VQ120" s="5"/>
      <c r="VR120" s="5"/>
      <c r="VS120" s="5"/>
      <c r="VT120" s="5"/>
      <c r="VU120" s="5"/>
      <c r="VV120" s="5"/>
      <c r="VW120" s="5"/>
      <c r="VX120" s="5"/>
      <c r="VY120" s="5"/>
      <c r="VZ120" s="5"/>
      <c r="WA120" s="5"/>
      <c r="WB120" s="5"/>
      <c r="WC120" s="5"/>
      <c r="WD120" s="5"/>
      <c r="WE120" s="5"/>
      <c r="WF120" s="5"/>
      <c r="WG120" s="5"/>
      <c r="WH120" s="5"/>
      <c r="WI120" s="5"/>
      <c r="WJ120" s="5"/>
      <c r="WK120" s="5"/>
      <c r="WL120" s="5"/>
      <c r="WM120" s="5"/>
      <c r="WN120" s="5"/>
      <c r="WO120" s="5"/>
      <c r="WP120" s="5"/>
      <c r="WQ120" s="5"/>
      <c r="WR120" s="5"/>
      <c r="WS120" s="5"/>
      <c r="WT120" s="5"/>
      <c r="WU120" s="5"/>
      <c r="WV120" s="5"/>
      <c r="WW120" s="5"/>
      <c r="WX120" s="5"/>
      <c r="WY120" s="5"/>
      <c r="WZ120" s="5"/>
      <c r="XA120" s="5"/>
      <c r="XB120" s="5"/>
      <c r="XC120" s="5"/>
      <c r="XD120" s="5"/>
      <c r="XE120" s="5"/>
      <c r="XF120" s="5"/>
      <c r="XG120" s="5"/>
      <c r="XH120" s="5"/>
      <c r="XI120" s="5"/>
      <c r="XJ120" s="5"/>
      <c r="XK120" s="5"/>
      <c r="XL120" s="5"/>
      <c r="XM120" s="5"/>
      <c r="XN120" s="5"/>
      <c r="XO120" s="5"/>
      <c r="XP120" s="5"/>
      <c r="XQ120" s="5"/>
      <c r="XR120" s="5"/>
      <c r="XS120" s="5"/>
      <c r="XT120" s="5"/>
      <c r="XU120" s="5"/>
      <c r="XV120" s="5"/>
      <c r="XW120" s="5"/>
      <c r="XX120" s="5"/>
      <c r="XY120" s="5"/>
      <c r="XZ120" s="5"/>
      <c r="YA120" s="5"/>
      <c r="YB120" s="5"/>
      <c r="YC120" s="5"/>
      <c r="YD120" s="5"/>
      <c r="YE120" s="5"/>
      <c r="YF120" s="5"/>
      <c r="YG120" s="5"/>
      <c r="YH120" s="5"/>
      <c r="YI120" s="5"/>
      <c r="YJ120" s="5"/>
      <c r="YK120" s="5"/>
      <c r="YL120" s="5"/>
      <c r="YM120" s="5"/>
      <c r="YN120" s="5"/>
      <c r="YO120" s="5"/>
      <c r="YP120" s="5"/>
      <c r="YQ120" s="5"/>
      <c r="YR120" s="5"/>
      <c r="YS120" s="5"/>
      <c r="YT120" s="5"/>
      <c r="YU120" s="5"/>
      <c r="YV120" s="5"/>
      <c r="YW120" s="5"/>
      <c r="YX120" s="5"/>
      <c r="YY120" s="5"/>
      <c r="YZ120" s="5"/>
      <c r="ZA120" s="5"/>
      <c r="ZB120" s="5"/>
      <c r="ZC120" s="5"/>
      <c r="ZD120" s="5"/>
      <c r="ZE120" s="5"/>
      <c r="ZF120" s="5"/>
      <c r="ZG120" s="5"/>
      <c r="ZH120" s="5"/>
      <c r="ZI120" s="5"/>
      <c r="ZJ120" s="5"/>
      <c r="ZK120" s="5"/>
      <c r="ZL120" s="5"/>
      <c r="ZM120" s="5"/>
      <c r="ZN120" s="5"/>
      <c r="ZO120" s="5"/>
      <c r="ZP120" s="5"/>
      <c r="ZQ120" s="5"/>
      <c r="ZR120" s="5"/>
      <c r="ZS120" s="5"/>
      <c r="ZT120" s="5"/>
      <c r="ZU120" s="5"/>
      <c r="ZV120" s="5"/>
      <c r="ZW120" s="5"/>
      <c r="ZX120" s="5"/>
      <c r="ZY120" s="5"/>
      <c r="ZZ120" s="5"/>
      <c r="AAA120" s="5"/>
      <c r="AAB120" s="5"/>
      <c r="AAC120" s="5"/>
      <c r="AAD120" s="5"/>
      <c r="AAE120" s="5"/>
      <c r="AAF120" s="5"/>
      <c r="AAG120" s="5"/>
      <c r="AAH120" s="5"/>
      <c r="AAI120" s="5"/>
      <c r="AAJ120" s="5"/>
      <c r="AAK120" s="5"/>
      <c r="AAL120" s="5"/>
      <c r="AAM120" s="5"/>
      <c r="AAN120" s="5"/>
      <c r="AAO120" s="5"/>
      <c r="AAP120" s="5"/>
      <c r="AAQ120" s="5"/>
      <c r="AAR120" s="5"/>
      <c r="AAS120" s="5"/>
      <c r="AAT120" s="5"/>
      <c r="AAU120" s="5"/>
      <c r="AAV120" s="5"/>
      <c r="AAW120" s="5"/>
      <c r="AAX120" s="5"/>
      <c r="AAY120" s="5"/>
      <c r="AAZ120" s="5"/>
      <c r="ABA120" s="5"/>
      <c r="ABB120" s="5"/>
      <c r="ABC120" s="5"/>
      <c r="ABD120" s="5"/>
      <c r="ABE120" s="5"/>
      <c r="ABF120" s="5"/>
      <c r="ABG120" s="5"/>
      <c r="ABH120" s="5"/>
      <c r="ABI120" s="5"/>
      <c r="ABJ120" s="5"/>
      <c r="ABK120" s="5"/>
      <c r="ABL120" s="5"/>
      <c r="ABM120" s="5"/>
      <c r="ABN120" s="5"/>
      <c r="ABO120" s="5"/>
      <c r="ABP120" s="5"/>
      <c r="ABQ120" s="5"/>
      <c r="ABR120" s="5"/>
      <c r="ABS120" s="5"/>
      <c r="ABT120" s="5"/>
      <c r="ABU120" s="5"/>
      <c r="ABV120" s="5"/>
      <c r="ABW120" s="5"/>
      <c r="ABX120" s="5"/>
      <c r="ABY120" s="5"/>
      <c r="ABZ120" s="5"/>
      <c r="ACA120" s="5"/>
      <c r="ACB120" s="5"/>
      <c r="ACC120" s="5"/>
      <c r="ACD120" s="5"/>
      <c r="ACE120" s="5"/>
      <c r="ACF120" s="5"/>
      <c r="ACG120" s="5"/>
      <c r="ACH120" s="5"/>
      <c r="ACI120" s="5"/>
      <c r="ACJ120" s="5"/>
      <c r="ACK120" s="5"/>
      <c r="ACL120" s="5"/>
      <c r="ACM120" s="5"/>
      <c r="ACN120" s="5"/>
      <c r="ACO120" s="5"/>
      <c r="ACP120" s="5"/>
      <c r="ACQ120" s="5"/>
      <c r="ACR120" s="5"/>
      <c r="ACS120" s="5"/>
      <c r="ACT120" s="5"/>
      <c r="ACU120" s="5"/>
      <c r="ACV120" s="5"/>
      <c r="ACW120" s="5"/>
      <c r="ACX120" s="5"/>
      <c r="ACY120" s="5"/>
      <c r="ACZ120" s="5"/>
      <c r="ADA120" s="5"/>
      <c r="ADB120" s="5"/>
      <c r="ADC120" s="5"/>
      <c r="ADD120" s="5"/>
      <c r="ADE120" s="5"/>
      <c r="ADF120" s="5"/>
      <c r="ADG120" s="5"/>
      <c r="ADH120" s="5"/>
      <c r="ADI120" s="5"/>
      <c r="ADJ120" s="5"/>
      <c r="ADK120" s="5"/>
      <c r="ADL120" s="5"/>
      <c r="ADM120" s="5"/>
      <c r="ADN120" s="5"/>
      <c r="ADO120" s="5"/>
      <c r="ADP120" s="5"/>
      <c r="ADQ120" s="5"/>
      <c r="ADR120" s="5"/>
      <c r="ADS120" s="5"/>
      <c r="ADT120" s="5"/>
      <c r="ADU120" s="5"/>
      <c r="ADV120" s="5"/>
      <c r="ADW120" s="5"/>
      <c r="ADX120" s="5"/>
      <c r="ADY120" s="5"/>
      <c r="ADZ120" s="5"/>
      <c r="AEA120" s="5"/>
      <c r="AEB120" s="5"/>
      <c r="AEC120" s="5"/>
      <c r="AED120" s="5"/>
      <c r="AEE120" s="5"/>
      <c r="AEF120" s="5"/>
      <c r="AEG120" s="5"/>
      <c r="AEH120" s="5"/>
      <c r="AEI120" s="5"/>
      <c r="AEJ120" s="5"/>
      <c r="AEK120" s="5"/>
      <c r="AEL120" s="5"/>
      <c r="AEM120" s="5"/>
      <c r="AEN120" s="5"/>
      <c r="AEO120" s="5"/>
      <c r="AEP120" s="5"/>
      <c r="AEQ120" s="5"/>
      <c r="AER120" s="5"/>
      <c r="AES120" s="5"/>
      <c r="AET120" s="5"/>
      <c r="AEU120" s="5"/>
      <c r="AEV120" s="5"/>
      <c r="AEW120" s="5"/>
      <c r="AEX120" s="5"/>
      <c r="AEY120" s="5"/>
      <c r="AEZ120" s="5"/>
      <c r="AFA120" s="5"/>
      <c r="AFB120" s="5"/>
      <c r="AFC120" s="5"/>
      <c r="AFD120" s="5"/>
      <c r="AFE120" s="5"/>
      <c r="AFF120" s="5"/>
      <c r="AFG120" s="5"/>
      <c r="AFH120" s="5"/>
      <c r="AFI120" s="5"/>
      <c r="AFJ120" s="5"/>
      <c r="AFK120" s="5"/>
      <c r="AFL120" s="5"/>
      <c r="AFM120" s="5"/>
      <c r="AFN120" s="5"/>
      <c r="AFO120" s="5"/>
      <c r="AFP120" s="5"/>
      <c r="AFQ120" s="5"/>
      <c r="AFR120" s="5"/>
      <c r="AFS120" s="5"/>
      <c r="AFT120" s="5"/>
      <c r="AFU120" s="5"/>
      <c r="AFV120" s="5"/>
      <c r="AFW120" s="5"/>
      <c r="AFX120" s="5"/>
      <c r="AFY120" s="5"/>
      <c r="AFZ120" s="5"/>
      <c r="AGA120" s="5"/>
      <c r="AGB120" s="5"/>
      <c r="AGC120" s="5"/>
      <c r="AGD120" s="5"/>
      <c r="AGE120" s="5"/>
      <c r="AGF120" s="5"/>
      <c r="AGG120" s="5"/>
      <c r="AGH120" s="5"/>
      <c r="AGI120" s="5"/>
      <c r="AGJ120" s="5"/>
      <c r="AGK120" s="5"/>
      <c r="AGL120" s="5"/>
      <c r="AGM120" s="5"/>
      <c r="AGN120" s="5"/>
      <c r="AGO120" s="5"/>
      <c r="AGP120" s="5"/>
      <c r="AGQ120" s="5"/>
      <c r="AGR120" s="5"/>
      <c r="AGS120" s="5"/>
      <c r="AGT120" s="5"/>
      <c r="AGU120" s="5"/>
      <c r="AGV120" s="5"/>
      <c r="AGW120" s="5"/>
      <c r="AGX120" s="5"/>
      <c r="AGY120" s="5"/>
      <c r="AGZ120" s="5"/>
      <c r="AHA120" s="5"/>
      <c r="AHB120" s="5"/>
      <c r="AHC120" s="5"/>
      <c r="AHD120" s="5"/>
      <c r="AHE120" s="5"/>
      <c r="AHF120" s="5"/>
      <c r="AHG120" s="5"/>
      <c r="AHH120" s="5"/>
      <c r="AHI120" s="5"/>
      <c r="AHJ120" s="5"/>
      <c r="AHK120" s="5"/>
      <c r="AHL120" s="5"/>
      <c r="AHM120" s="5"/>
      <c r="AHN120" s="5"/>
      <c r="AHO120" s="5"/>
      <c r="AHP120" s="5"/>
      <c r="AHQ120" s="5"/>
      <c r="AHR120" s="5"/>
      <c r="AHS120" s="5"/>
      <c r="AHT120" s="5"/>
      <c r="AHU120" s="5"/>
      <c r="AHV120" s="5"/>
      <c r="AHW120" s="5"/>
      <c r="AHX120" s="5"/>
      <c r="AHY120" s="5"/>
      <c r="AHZ120" s="5"/>
      <c r="AIA120" s="5"/>
      <c r="AIB120" s="5"/>
      <c r="AIC120" s="5"/>
      <c r="AID120" s="5"/>
      <c r="AIE120" s="5"/>
      <c r="AIF120" s="5"/>
      <c r="AIG120" s="5"/>
      <c r="AIH120" s="5"/>
      <c r="AII120" s="5"/>
      <c r="AIJ120" s="5"/>
      <c r="AIK120" s="5"/>
      <c r="AIL120" s="5"/>
      <c r="AIM120" s="5"/>
      <c r="AIN120" s="5"/>
      <c r="AIO120" s="5"/>
      <c r="AIP120" s="5"/>
      <c r="AIQ120" s="5"/>
      <c r="AIR120" s="5"/>
      <c r="AIS120" s="5"/>
      <c r="AIT120" s="5"/>
      <c r="AIU120" s="5"/>
      <c r="AIV120" s="5"/>
      <c r="AIW120" s="5"/>
      <c r="AIX120" s="5"/>
      <c r="AIY120" s="5"/>
      <c r="AIZ120" s="5"/>
      <c r="AJA120" s="5"/>
      <c r="AJB120" s="5"/>
      <c r="AJC120" s="5"/>
      <c r="AJD120" s="5"/>
      <c r="AJE120" s="5"/>
      <c r="AJF120" s="5"/>
      <c r="AJG120" s="5"/>
      <c r="AJH120" s="5"/>
      <c r="AJI120" s="5"/>
      <c r="AJJ120" s="5"/>
      <c r="AJK120" s="5"/>
      <c r="AJL120" s="5"/>
      <c r="AJM120" s="5"/>
      <c r="AJN120" s="5"/>
      <c r="AJO120" s="5"/>
      <c r="AJP120" s="5"/>
      <c r="AJQ120" s="5"/>
      <c r="AJR120" s="5"/>
      <c r="AJS120" s="5"/>
      <c r="AJT120" s="5"/>
      <c r="AJU120" s="5"/>
      <c r="AJV120" s="5"/>
      <c r="AJW120" s="5"/>
      <c r="AJX120" s="5"/>
      <c r="AJY120" s="5"/>
      <c r="AJZ120" s="5"/>
      <c r="AKA120" s="5"/>
      <c r="AKB120" s="5"/>
      <c r="AKC120" s="5"/>
      <c r="AKD120" s="5"/>
      <c r="AKE120" s="5"/>
      <c r="AKF120" s="5"/>
      <c r="AKG120" s="5"/>
      <c r="AKH120" s="5"/>
      <c r="AKI120" s="5"/>
      <c r="AKJ120" s="5"/>
      <c r="AKK120" s="5"/>
      <c r="AKL120" s="5"/>
      <c r="AKM120" s="5"/>
      <c r="AKN120" s="5"/>
      <c r="AKO120" s="5"/>
      <c r="AKP120" s="5"/>
      <c r="AKQ120" s="5"/>
      <c r="AKR120" s="5"/>
      <c r="AKS120" s="5"/>
      <c r="AKT120" s="5"/>
      <c r="AKU120" s="5"/>
      <c r="AKV120" s="5"/>
      <c r="AKW120" s="5"/>
      <c r="AKX120" s="5"/>
      <c r="AKY120" s="5"/>
      <c r="AKZ120" s="5"/>
      <c r="ALA120" s="5"/>
      <c r="ALB120" s="5"/>
      <c r="ALC120" s="5"/>
      <c r="ALD120" s="5"/>
      <c r="ALE120" s="5"/>
      <c r="ALF120" s="5"/>
      <c r="ALG120" s="5"/>
      <c r="ALH120" s="5"/>
      <c r="ALI120" s="5"/>
      <c r="ALJ120" s="5"/>
      <c r="ALK120" s="5"/>
      <c r="ALL120" s="5"/>
      <c r="ALM120" s="5"/>
      <c r="ALN120" s="5"/>
      <c r="ALO120" s="5"/>
      <c r="ALP120" s="5"/>
      <c r="ALQ120" s="5"/>
      <c r="ALR120" s="5"/>
      <c r="ALS120" s="5"/>
      <c r="ALT120" s="5"/>
      <c r="ALU120" s="5"/>
      <c r="ALV120" s="5"/>
      <c r="ALW120" s="5"/>
      <c r="ALX120" s="5"/>
      <c r="ALY120" s="5"/>
      <c r="ALZ120" s="5"/>
      <c r="AMA120" s="5"/>
      <c r="AMB120" s="5"/>
      <c r="AMC120" s="5"/>
    </row>
    <row r="121" spans="1:1017" s="569" customFormat="1" x14ac:dyDescent="0.2">
      <c r="A121" s="682"/>
      <c r="B121" s="682" t="s">
        <v>651</v>
      </c>
      <c r="C121" s="682"/>
      <c r="D121" s="682"/>
      <c r="E121" s="682"/>
      <c r="F121" s="682"/>
      <c r="G121" s="718"/>
      <c r="H121" s="718"/>
      <c r="I121" s="690"/>
      <c r="J121" s="721">
        <v>291302.84999999998</v>
      </c>
      <c r="K121" s="718"/>
      <c r="L121" s="690"/>
      <c r="M121" s="5" t="s">
        <v>652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  <c r="AMA121" s="5"/>
      <c r="AMB121" s="5"/>
      <c r="AMC121" s="5"/>
    </row>
    <row r="122" spans="1:1017" s="5" customFormat="1" ht="12.75" x14ac:dyDescent="0.2">
      <c r="A122" s="682"/>
      <c r="B122" s="682" t="s">
        <v>234</v>
      </c>
      <c r="C122" s="682"/>
      <c r="D122" s="682"/>
      <c r="E122" s="682"/>
      <c r="F122" s="682"/>
      <c r="G122" s="718">
        <v>200000</v>
      </c>
      <c r="H122" s="718">
        <v>196195.96</v>
      </c>
      <c r="I122" s="690"/>
      <c r="J122" s="721"/>
      <c r="K122" s="718"/>
      <c r="L122" s="690"/>
    </row>
    <row r="123" spans="1:1017" ht="15" thickBot="1" x14ac:dyDescent="0.25">
      <c r="A123" s="708"/>
      <c r="B123" s="709" t="s">
        <v>235</v>
      </c>
      <c r="C123" s="710"/>
      <c r="D123" s="711"/>
      <c r="E123" s="711"/>
      <c r="F123" s="712"/>
      <c r="G123" s="685">
        <f t="shared" ref="G123:L123" si="7">SUM(G100:G122)</f>
        <v>340202</v>
      </c>
      <c r="H123" s="686">
        <f t="shared" si="7"/>
        <v>328205.69</v>
      </c>
      <c r="I123" s="685">
        <f t="shared" si="7"/>
        <v>0</v>
      </c>
      <c r="J123" s="713">
        <f t="shared" si="7"/>
        <v>478169.35</v>
      </c>
      <c r="K123" s="686">
        <f t="shared" si="7"/>
        <v>90000</v>
      </c>
      <c r="L123" s="245">
        <f t="shared" si="7"/>
        <v>0</v>
      </c>
    </row>
    <row r="124" spans="1:1017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622"/>
      <c r="K124" s="10"/>
      <c r="L124" s="206"/>
    </row>
    <row r="125" spans="1:1017" ht="15" thickBot="1" x14ac:dyDescent="0.25">
      <c r="A125" s="764" t="s">
        <v>236</v>
      </c>
      <c r="B125" s="764"/>
      <c r="C125" s="764"/>
      <c r="D125" s="764"/>
      <c r="E125" s="764"/>
      <c r="F125" s="764"/>
      <c r="G125" s="764"/>
      <c r="H125" s="764"/>
      <c r="I125" s="764"/>
      <c r="J125" s="764"/>
      <c r="K125" s="764"/>
      <c r="L125" s="764"/>
    </row>
    <row r="126" spans="1:1017" ht="16.5" customHeight="1" thickBot="1" x14ac:dyDescent="0.25">
      <c r="A126" s="52"/>
      <c r="B126" s="52"/>
      <c r="C126" s="760">
        <v>2013</v>
      </c>
      <c r="D126" s="760"/>
      <c r="E126" s="765">
        <v>2014</v>
      </c>
      <c r="F126" s="765"/>
      <c r="G126" s="752">
        <v>2015</v>
      </c>
      <c r="H126" s="752"/>
      <c r="I126" s="752">
        <f>$I$2</f>
        <v>2019</v>
      </c>
      <c r="J126" s="752"/>
      <c r="K126" s="752"/>
      <c r="L126" s="761" t="str">
        <f>$L$2</f>
        <v>2020 Proposed</v>
      </c>
    </row>
    <row r="127" spans="1:1017" s="16" customFormat="1" ht="18" customHeight="1" thickBot="1" x14ac:dyDescent="0.25">
      <c r="A127" s="9" t="s">
        <v>2</v>
      </c>
      <c r="B127" s="9" t="s">
        <v>3</v>
      </c>
      <c r="C127" s="10" t="s">
        <v>4</v>
      </c>
      <c r="D127" s="10" t="s">
        <v>5</v>
      </c>
      <c r="E127" s="10" t="s">
        <v>4</v>
      </c>
      <c r="F127" s="10" t="s">
        <v>5</v>
      </c>
      <c r="G127" s="11" t="s">
        <v>6</v>
      </c>
      <c r="H127" s="12" t="s">
        <v>4</v>
      </c>
      <c r="I127" s="11" t="s">
        <v>6</v>
      </c>
      <c r="J127" s="593" t="str">
        <f>$J$3</f>
        <v>As of 10/31</v>
      </c>
      <c r="K127" s="12" t="s">
        <v>8</v>
      </c>
      <c r="L127" s="761"/>
    </row>
    <row r="128" spans="1:1017" ht="15" thickBot="1" x14ac:dyDescent="0.25">
      <c r="A128" s="17"/>
      <c r="B128" s="17" t="s">
        <v>238</v>
      </c>
      <c r="C128" s="18"/>
      <c r="D128" s="19"/>
      <c r="E128" s="19"/>
      <c r="F128" s="20"/>
      <c r="G128" s="21">
        <v>2200</v>
      </c>
      <c r="H128" s="22">
        <v>1243</v>
      </c>
      <c r="I128" s="196"/>
      <c r="J128" s="630">
        <v>9484</v>
      </c>
      <c r="K128" s="22"/>
      <c r="L128" s="588"/>
    </row>
    <row r="129" spans="1:1017" ht="15" thickBot="1" x14ac:dyDescent="0.25">
      <c r="A129" s="25"/>
      <c r="B129" s="25"/>
      <c r="C129" s="26"/>
      <c r="D129" s="27"/>
      <c r="E129" s="27"/>
      <c r="F129" s="28"/>
      <c r="G129" s="29">
        <v>0</v>
      </c>
      <c r="H129" s="30">
        <v>172</v>
      </c>
      <c r="I129" s="673"/>
      <c r="J129" s="595"/>
      <c r="K129" s="72"/>
      <c r="L129" s="230"/>
    </row>
    <row r="130" spans="1:1017" x14ac:dyDescent="0.2">
      <c r="A130" s="25"/>
      <c r="B130" s="25" t="s">
        <v>242</v>
      </c>
      <c r="C130" s="26"/>
      <c r="D130" s="27"/>
      <c r="E130" s="27"/>
      <c r="F130" s="28"/>
      <c r="G130" s="29">
        <v>1000</v>
      </c>
      <c r="H130" s="30">
        <v>1045</v>
      </c>
      <c r="I130" s="673"/>
      <c r="J130" s="595"/>
      <c r="K130" s="30"/>
      <c r="L130" s="179"/>
    </row>
    <row r="131" spans="1:1017" ht="15" thickBot="1" x14ac:dyDescent="0.25">
      <c r="A131" s="247"/>
      <c r="B131" s="247"/>
      <c r="C131" s="18"/>
      <c r="D131" s="19"/>
      <c r="E131" s="19"/>
      <c r="F131" s="20"/>
      <c r="G131" s="84">
        <v>1000</v>
      </c>
      <c r="H131" s="248">
        <v>2333.7399999999998</v>
      </c>
      <c r="I131" s="243"/>
      <c r="J131" s="631"/>
      <c r="K131" s="248"/>
      <c r="L131" s="244"/>
    </row>
    <row r="132" spans="1:1017" ht="15" thickBot="1" x14ac:dyDescent="0.25">
      <c r="A132" s="200"/>
      <c r="B132" s="201" t="s">
        <v>245</v>
      </c>
      <c r="C132" s="202"/>
      <c r="D132" s="203"/>
      <c r="E132" s="203"/>
      <c r="F132" s="204"/>
      <c r="G132" s="45">
        <f t="shared" ref="G132:L132" si="8">SUM(G128:G131)</f>
        <v>4200</v>
      </c>
      <c r="H132" s="88">
        <f t="shared" si="8"/>
        <v>4793.74</v>
      </c>
      <c r="I132" s="45">
        <f t="shared" si="8"/>
        <v>0</v>
      </c>
      <c r="J132" s="598">
        <f t="shared" si="8"/>
        <v>9484</v>
      </c>
      <c r="K132" s="88">
        <f t="shared" si="8"/>
        <v>0</v>
      </c>
      <c r="L132" s="48">
        <f t="shared" si="8"/>
        <v>0</v>
      </c>
    </row>
    <row r="133" spans="1:1017" ht="16.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622"/>
      <c r="K133" s="10"/>
      <c r="L133" s="206"/>
    </row>
    <row r="134" spans="1:1017" ht="15" thickBot="1" x14ac:dyDescent="0.25">
      <c r="A134" s="764" t="s">
        <v>246</v>
      </c>
      <c r="B134" s="764"/>
      <c r="C134" s="764"/>
      <c r="D134" s="764"/>
      <c r="E134" s="764"/>
      <c r="F134" s="764"/>
      <c r="G134" s="764"/>
      <c r="H134" s="764"/>
      <c r="I134" s="764"/>
      <c r="J134" s="764"/>
      <c r="K134" s="764"/>
      <c r="L134" s="764"/>
    </row>
    <row r="135" spans="1:1017" ht="15" thickBot="1" x14ac:dyDescent="0.25">
      <c r="A135" s="52"/>
      <c r="B135" s="52"/>
      <c r="C135" s="760">
        <v>2013</v>
      </c>
      <c r="D135" s="760"/>
      <c r="E135" s="765">
        <v>2014</v>
      </c>
      <c r="F135" s="765"/>
      <c r="G135" s="752">
        <v>2015</v>
      </c>
      <c r="H135" s="752"/>
      <c r="I135" s="752">
        <f>$I$2</f>
        <v>2019</v>
      </c>
      <c r="J135" s="752"/>
      <c r="K135" s="752"/>
      <c r="L135" s="761" t="str">
        <f>$L$2</f>
        <v>2020 Proposed</v>
      </c>
    </row>
    <row r="136" spans="1:1017" s="16" customFormat="1" ht="13.5" customHeight="1" thickBot="1" x14ac:dyDescent="0.25">
      <c r="A136" s="9" t="s">
        <v>2</v>
      </c>
      <c r="B136" s="9" t="s">
        <v>3</v>
      </c>
      <c r="C136" s="10" t="s">
        <v>4</v>
      </c>
      <c r="D136" s="10" t="s">
        <v>5</v>
      </c>
      <c r="E136" s="10" t="s">
        <v>4</v>
      </c>
      <c r="F136" s="10" t="s">
        <v>5</v>
      </c>
      <c r="G136" s="11" t="s">
        <v>6</v>
      </c>
      <c r="H136" s="12" t="s">
        <v>4</v>
      </c>
      <c r="I136" s="11" t="s">
        <v>6</v>
      </c>
      <c r="J136" s="593" t="str">
        <f>$J$3</f>
        <v>As of 10/31</v>
      </c>
      <c r="K136" s="12" t="s">
        <v>8</v>
      </c>
      <c r="L136" s="761"/>
    </row>
    <row r="137" spans="1:1017" s="5" customFormat="1" ht="12.75" x14ac:dyDescent="0.2">
      <c r="A137" s="251"/>
      <c r="B137" s="25" t="s">
        <v>256</v>
      </c>
      <c r="C137" s="26"/>
      <c r="D137" s="27"/>
      <c r="E137" s="27"/>
      <c r="F137" s="28"/>
      <c r="G137" s="29"/>
      <c r="H137" s="30"/>
      <c r="I137" s="675"/>
      <c r="J137" s="595"/>
      <c r="K137" s="30"/>
      <c r="L137" s="97"/>
    </row>
    <row r="138" spans="1:1017" s="5" customFormat="1" ht="12.75" x14ac:dyDescent="0.2">
      <c r="A138" s="251"/>
      <c r="B138" s="25" t="s">
        <v>258</v>
      </c>
      <c r="C138" s="26"/>
      <c r="D138" s="27"/>
      <c r="E138" s="27"/>
      <c r="F138" s="28"/>
      <c r="G138" s="29"/>
      <c r="H138" s="30"/>
      <c r="I138" s="178"/>
      <c r="J138" s="595"/>
      <c r="K138" s="30"/>
      <c r="L138" s="179"/>
    </row>
    <row r="139" spans="1:1017" s="569" customFormat="1" x14ac:dyDescent="0.2">
      <c r="A139" s="251"/>
      <c r="B139" s="25" t="s">
        <v>260</v>
      </c>
      <c r="C139" s="26"/>
      <c r="D139" s="27"/>
      <c r="E139" s="27"/>
      <c r="F139" s="28"/>
      <c r="G139" s="29"/>
      <c r="H139" s="30"/>
      <c r="I139" s="675"/>
      <c r="J139" s="595"/>
      <c r="K139" s="30"/>
      <c r="L139" s="9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  <c r="AFW139" s="5"/>
      <c r="AFX139" s="5"/>
      <c r="AFY139" s="5"/>
      <c r="AFZ139" s="5"/>
      <c r="AGA139" s="5"/>
      <c r="AGB139" s="5"/>
      <c r="AGC139" s="5"/>
      <c r="AGD139" s="5"/>
      <c r="AGE139" s="5"/>
      <c r="AGF139" s="5"/>
      <c r="AGG139" s="5"/>
      <c r="AGH139" s="5"/>
      <c r="AGI139" s="5"/>
      <c r="AGJ139" s="5"/>
      <c r="AGK139" s="5"/>
      <c r="AGL139" s="5"/>
      <c r="AGM139" s="5"/>
      <c r="AGN139" s="5"/>
      <c r="AGO139" s="5"/>
      <c r="AGP139" s="5"/>
      <c r="AGQ139" s="5"/>
      <c r="AGR139" s="5"/>
      <c r="AGS139" s="5"/>
      <c r="AGT139" s="5"/>
      <c r="AGU139" s="5"/>
      <c r="AGV139" s="5"/>
      <c r="AGW139" s="5"/>
      <c r="AGX139" s="5"/>
      <c r="AGY139" s="5"/>
      <c r="AGZ139" s="5"/>
      <c r="AHA139" s="5"/>
      <c r="AHB139" s="5"/>
      <c r="AHC139" s="5"/>
      <c r="AHD139" s="5"/>
      <c r="AHE139" s="5"/>
      <c r="AHF139" s="5"/>
      <c r="AHG139" s="5"/>
      <c r="AHH139" s="5"/>
      <c r="AHI139" s="5"/>
      <c r="AHJ139" s="5"/>
      <c r="AHK139" s="5"/>
      <c r="AHL139" s="5"/>
      <c r="AHM139" s="5"/>
      <c r="AHN139" s="5"/>
      <c r="AHO139" s="5"/>
      <c r="AHP139" s="5"/>
      <c r="AHQ139" s="5"/>
      <c r="AHR139" s="5"/>
      <c r="AHS139" s="5"/>
      <c r="AHT139" s="5"/>
      <c r="AHU139" s="5"/>
      <c r="AHV139" s="5"/>
      <c r="AHW139" s="5"/>
      <c r="AHX139" s="5"/>
      <c r="AHY139" s="5"/>
      <c r="AHZ139" s="5"/>
      <c r="AIA139" s="5"/>
      <c r="AIB139" s="5"/>
      <c r="AIC139" s="5"/>
      <c r="AID139" s="5"/>
      <c r="AIE139" s="5"/>
      <c r="AIF139" s="5"/>
      <c r="AIG139" s="5"/>
      <c r="AIH139" s="5"/>
      <c r="AII139" s="5"/>
      <c r="AIJ139" s="5"/>
      <c r="AIK139" s="5"/>
      <c r="AIL139" s="5"/>
      <c r="AIM139" s="5"/>
      <c r="AIN139" s="5"/>
      <c r="AIO139" s="5"/>
      <c r="AIP139" s="5"/>
      <c r="AIQ139" s="5"/>
      <c r="AIR139" s="5"/>
      <c r="AIS139" s="5"/>
      <c r="AIT139" s="5"/>
      <c r="AIU139" s="5"/>
      <c r="AIV139" s="5"/>
      <c r="AIW139" s="5"/>
      <c r="AIX139" s="5"/>
      <c r="AIY139" s="5"/>
      <c r="AIZ139" s="5"/>
      <c r="AJA139" s="5"/>
      <c r="AJB139" s="5"/>
      <c r="AJC139" s="5"/>
      <c r="AJD139" s="5"/>
      <c r="AJE139" s="5"/>
      <c r="AJF139" s="5"/>
      <c r="AJG139" s="5"/>
      <c r="AJH139" s="5"/>
      <c r="AJI139" s="5"/>
      <c r="AJJ139" s="5"/>
      <c r="AJK139" s="5"/>
      <c r="AJL139" s="5"/>
      <c r="AJM139" s="5"/>
      <c r="AJN139" s="5"/>
      <c r="AJO139" s="5"/>
      <c r="AJP139" s="5"/>
      <c r="AJQ139" s="5"/>
      <c r="AJR139" s="5"/>
      <c r="AJS139" s="5"/>
      <c r="AJT139" s="5"/>
      <c r="AJU139" s="5"/>
      <c r="AJV139" s="5"/>
      <c r="AJW139" s="5"/>
      <c r="AJX139" s="5"/>
      <c r="AJY139" s="5"/>
      <c r="AJZ139" s="5"/>
      <c r="AKA139" s="5"/>
      <c r="AKB139" s="5"/>
      <c r="AKC139" s="5"/>
      <c r="AKD139" s="5"/>
      <c r="AKE139" s="5"/>
      <c r="AKF139" s="5"/>
      <c r="AKG139" s="5"/>
      <c r="AKH139" s="5"/>
      <c r="AKI139" s="5"/>
      <c r="AKJ139" s="5"/>
      <c r="AKK139" s="5"/>
      <c r="AKL139" s="5"/>
      <c r="AKM139" s="5"/>
      <c r="AKN139" s="5"/>
      <c r="AKO139" s="5"/>
      <c r="AKP139" s="5"/>
      <c r="AKQ139" s="5"/>
      <c r="AKR139" s="5"/>
      <c r="AKS139" s="5"/>
      <c r="AKT139" s="5"/>
      <c r="AKU139" s="5"/>
      <c r="AKV139" s="5"/>
      <c r="AKW139" s="5"/>
      <c r="AKX139" s="5"/>
      <c r="AKY139" s="5"/>
      <c r="AKZ139" s="5"/>
      <c r="ALA139" s="5"/>
      <c r="ALB139" s="5"/>
      <c r="ALC139" s="5"/>
      <c r="ALD139" s="5"/>
      <c r="ALE139" s="5"/>
      <c r="ALF139" s="5"/>
      <c r="ALG139" s="5"/>
      <c r="ALH139" s="5"/>
      <c r="ALI139" s="5"/>
      <c r="ALJ139" s="5"/>
      <c r="ALK139" s="5"/>
      <c r="ALL139" s="5"/>
      <c r="ALM139" s="5"/>
      <c r="ALN139" s="5"/>
      <c r="ALO139" s="5"/>
      <c r="ALP139" s="5"/>
      <c r="ALQ139" s="5"/>
      <c r="ALR139" s="5"/>
      <c r="ALS139" s="5"/>
      <c r="ALT139" s="5"/>
      <c r="ALU139" s="5"/>
      <c r="ALV139" s="5"/>
      <c r="ALW139" s="5"/>
      <c r="ALX139" s="5"/>
      <c r="ALY139" s="5"/>
      <c r="ALZ139" s="5"/>
      <c r="AMA139" s="5"/>
      <c r="AMB139" s="5"/>
      <c r="AMC139" s="5"/>
    </row>
    <row r="140" spans="1:1017" s="569" customFormat="1" x14ac:dyDescent="0.2">
      <c r="A140" s="251"/>
      <c r="B140" s="25" t="s">
        <v>262</v>
      </c>
      <c r="C140" s="26"/>
      <c r="D140" s="27"/>
      <c r="E140" s="27"/>
      <c r="F140" s="28"/>
      <c r="G140" s="29"/>
      <c r="H140" s="30"/>
      <c r="I140" s="252"/>
      <c r="J140" s="595"/>
      <c r="K140" s="30"/>
      <c r="L140" s="25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  <c r="AKT140" s="5"/>
      <c r="AKU140" s="5"/>
      <c r="AKV140" s="5"/>
      <c r="AKW140" s="5"/>
      <c r="AKX140" s="5"/>
      <c r="AKY140" s="5"/>
      <c r="AKZ140" s="5"/>
      <c r="ALA140" s="5"/>
      <c r="ALB140" s="5"/>
      <c r="ALC140" s="5"/>
      <c r="ALD140" s="5"/>
      <c r="ALE140" s="5"/>
      <c r="ALF140" s="5"/>
      <c r="ALG140" s="5"/>
      <c r="ALH140" s="5"/>
      <c r="ALI140" s="5"/>
      <c r="ALJ140" s="5"/>
      <c r="ALK140" s="5"/>
      <c r="ALL140" s="5"/>
      <c r="ALM140" s="5"/>
      <c r="ALN140" s="5"/>
      <c r="ALO140" s="5"/>
      <c r="ALP140" s="5"/>
      <c r="ALQ140" s="5"/>
      <c r="ALR140" s="5"/>
      <c r="ALS140" s="5"/>
      <c r="ALT140" s="5"/>
      <c r="ALU140" s="5"/>
      <c r="ALV140" s="5"/>
      <c r="ALW140" s="5"/>
      <c r="ALX140" s="5"/>
      <c r="ALY140" s="5"/>
      <c r="ALZ140" s="5"/>
      <c r="AMA140" s="5"/>
      <c r="AMB140" s="5"/>
      <c r="AMC140" s="5"/>
    </row>
    <row r="141" spans="1:1017" s="5" customFormat="1" ht="12.75" x14ac:dyDescent="0.2">
      <c r="A141" s="725"/>
      <c r="B141" s="60" t="s">
        <v>264</v>
      </c>
      <c r="C141" s="26"/>
      <c r="D141" s="27"/>
      <c r="E141" s="27"/>
      <c r="F141" s="28"/>
      <c r="G141" s="38"/>
      <c r="H141" s="39"/>
      <c r="I141" s="726"/>
      <c r="J141" s="727"/>
      <c r="K141" s="39"/>
      <c r="L141" s="253"/>
    </row>
    <row r="142" spans="1:1017" ht="15" thickBot="1" x14ac:dyDescent="0.25">
      <c r="A142" s="37"/>
      <c r="B142" s="37" t="s">
        <v>266</v>
      </c>
      <c r="C142" s="26"/>
      <c r="D142" s="27"/>
      <c r="E142" s="27"/>
      <c r="F142" s="28"/>
      <c r="G142" s="62">
        <v>0</v>
      </c>
      <c r="H142" s="63">
        <v>0</v>
      </c>
      <c r="I142" s="62"/>
      <c r="J142" s="633"/>
      <c r="K142" s="63"/>
      <c r="L142" s="262"/>
    </row>
    <row r="143" spans="1:1017" ht="15" thickBot="1" x14ac:dyDescent="0.25">
      <c r="A143" s="757" t="s">
        <v>267</v>
      </c>
      <c r="B143" s="757"/>
      <c r="C143" s="202"/>
      <c r="D143" s="203"/>
      <c r="E143" s="203"/>
      <c r="F143" s="204"/>
      <c r="G143" s="45">
        <f t="shared" ref="G143:L143" si="9">SUM(G137:G142)</f>
        <v>0</v>
      </c>
      <c r="H143" s="88">
        <f t="shared" si="9"/>
        <v>0</v>
      </c>
      <c r="I143" s="45">
        <f t="shared" si="9"/>
        <v>0</v>
      </c>
      <c r="J143" s="598">
        <f t="shared" si="9"/>
        <v>0</v>
      </c>
      <c r="K143" s="88">
        <f t="shared" si="9"/>
        <v>0</v>
      </c>
      <c r="L143" s="48">
        <f t="shared" si="9"/>
        <v>0</v>
      </c>
    </row>
    <row r="144" spans="1:1017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622"/>
      <c r="K144" s="10"/>
      <c r="L144" s="206"/>
    </row>
    <row r="145" spans="1:1017" ht="15" thickBot="1" x14ac:dyDescent="0.25">
      <c r="A145" s="764" t="s">
        <v>653</v>
      </c>
      <c r="B145" s="764"/>
      <c r="C145" s="764"/>
      <c r="D145" s="764"/>
      <c r="E145" s="764"/>
      <c r="F145" s="764"/>
      <c r="G145" s="764"/>
      <c r="H145" s="764"/>
      <c r="I145" s="764"/>
      <c r="J145" s="764"/>
      <c r="K145" s="764"/>
      <c r="L145" s="764"/>
    </row>
    <row r="146" spans="1:1017" ht="15" thickBot="1" x14ac:dyDescent="0.25">
      <c r="A146" s="52"/>
      <c r="B146" s="52"/>
      <c r="C146" s="760">
        <v>2013</v>
      </c>
      <c r="D146" s="760"/>
      <c r="E146" s="765">
        <v>2014</v>
      </c>
      <c r="F146" s="765"/>
      <c r="G146" s="752">
        <v>2015</v>
      </c>
      <c r="H146" s="752"/>
      <c r="I146" s="752">
        <f>$I$2</f>
        <v>2019</v>
      </c>
      <c r="J146" s="752"/>
      <c r="K146" s="752"/>
      <c r="L146" s="761" t="str">
        <f>$L$2</f>
        <v>2020 Proposed</v>
      </c>
    </row>
    <row r="147" spans="1:1017" s="16" customFormat="1" ht="13.5" customHeight="1" x14ac:dyDescent="0.2">
      <c r="A147" s="126" t="s">
        <v>2</v>
      </c>
      <c r="B147" s="126" t="s">
        <v>3</v>
      </c>
      <c r="C147" s="10" t="s">
        <v>4</v>
      </c>
      <c r="D147" s="10" t="s">
        <v>5</v>
      </c>
      <c r="E147" s="10" t="s">
        <v>4</v>
      </c>
      <c r="F147" s="10" t="s">
        <v>5</v>
      </c>
      <c r="G147" s="68" t="s">
        <v>6</v>
      </c>
      <c r="H147" s="69" t="s">
        <v>4</v>
      </c>
      <c r="I147" s="68" t="s">
        <v>6</v>
      </c>
      <c r="J147" s="688" t="str">
        <f>$J$3</f>
        <v>As of 10/31</v>
      </c>
      <c r="K147" s="69" t="s">
        <v>8</v>
      </c>
      <c r="L147" s="758"/>
    </row>
    <row r="148" spans="1:1017" x14ac:dyDescent="0.2">
      <c r="A148" s="677"/>
      <c r="B148" s="677" t="s">
        <v>654</v>
      </c>
      <c r="C148" s="677"/>
      <c r="D148" s="677"/>
      <c r="E148" s="677"/>
      <c r="F148" s="677"/>
      <c r="G148" s="678">
        <v>72500</v>
      </c>
      <c r="H148" s="678">
        <v>70902.039999999994</v>
      </c>
      <c r="I148" s="722"/>
      <c r="J148" s="679">
        <v>124831.03999999999</v>
      </c>
      <c r="K148" s="678"/>
      <c r="L148" s="722"/>
      <c r="M148" s="5" t="s">
        <v>656</v>
      </c>
    </row>
    <row r="149" spans="1:1017" x14ac:dyDescent="0.2">
      <c r="A149" s="682"/>
      <c r="B149" s="682" t="s">
        <v>655</v>
      </c>
      <c r="C149" s="682"/>
      <c r="D149" s="682"/>
      <c r="E149" s="682"/>
      <c r="F149" s="682"/>
      <c r="G149" s="683">
        <v>6049</v>
      </c>
      <c r="H149" s="683">
        <v>3008</v>
      </c>
      <c r="I149" s="690"/>
      <c r="J149" s="687">
        <v>623.42999999999995</v>
      </c>
      <c r="K149" s="683"/>
      <c r="L149" s="690"/>
    </row>
    <row r="150" spans="1:1017" s="676" customFormat="1" x14ac:dyDescent="0.2">
      <c r="A150" s="682"/>
      <c r="B150" s="682" t="s">
        <v>657</v>
      </c>
      <c r="C150" s="682"/>
      <c r="D150" s="682"/>
      <c r="E150" s="682"/>
      <c r="F150" s="682"/>
      <c r="G150" s="683"/>
      <c r="H150" s="683"/>
      <c r="I150" s="690"/>
      <c r="J150" s="687"/>
      <c r="K150" s="683"/>
      <c r="L150" s="69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5"/>
      <c r="UO150" s="5"/>
      <c r="UP150" s="5"/>
      <c r="UQ150" s="5"/>
      <c r="UR150" s="5"/>
      <c r="US150" s="5"/>
      <c r="UT150" s="5"/>
      <c r="UU150" s="5"/>
      <c r="UV150" s="5"/>
      <c r="UW150" s="5"/>
      <c r="UX150" s="5"/>
      <c r="UY150" s="5"/>
      <c r="UZ150" s="5"/>
      <c r="VA150" s="5"/>
      <c r="VB150" s="5"/>
      <c r="VC150" s="5"/>
      <c r="VD150" s="5"/>
      <c r="VE150" s="5"/>
      <c r="VF150" s="5"/>
      <c r="VG150" s="5"/>
      <c r="VH150" s="5"/>
      <c r="VI150" s="5"/>
      <c r="VJ150" s="5"/>
      <c r="VK150" s="5"/>
      <c r="VL150" s="5"/>
      <c r="VM150" s="5"/>
      <c r="VN150" s="5"/>
      <c r="VO150" s="5"/>
      <c r="VP150" s="5"/>
      <c r="VQ150" s="5"/>
      <c r="VR150" s="5"/>
      <c r="VS150" s="5"/>
      <c r="VT150" s="5"/>
      <c r="VU150" s="5"/>
      <c r="VV150" s="5"/>
      <c r="VW150" s="5"/>
      <c r="VX150" s="5"/>
      <c r="VY150" s="5"/>
      <c r="VZ150" s="5"/>
      <c r="WA150" s="5"/>
      <c r="WB150" s="5"/>
      <c r="WC150" s="5"/>
      <c r="WD150" s="5"/>
      <c r="WE150" s="5"/>
      <c r="WF150" s="5"/>
      <c r="WG150" s="5"/>
      <c r="WH150" s="5"/>
      <c r="WI150" s="5"/>
      <c r="WJ150" s="5"/>
      <c r="WK150" s="5"/>
      <c r="WL150" s="5"/>
      <c r="WM150" s="5"/>
      <c r="WN150" s="5"/>
      <c r="WO150" s="5"/>
      <c r="WP150" s="5"/>
      <c r="WQ150" s="5"/>
      <c r="WR150" s="5"/>
      <c r="WS150" s="5"/>
      <c r="WT150" s="5"/>
      <c r="WU150" s="5"/>
      <c r="WV150" s="5"/>
      <c r="WW150" s="5"/>
      <c r="WX150" s="5"/>
      <c r="WY150" s="5"/>
      <c r="WZ150" s="5"/>
      <c r="XA150" s="5"/>
      <c r="XB150" s="5"/>
      <c r="XC150" s="5"/>
      <c r="XD150" s="5"/>
      <c r="XE150" s="5"/>
      <c r="XF150" s="5"/>
      <c r="XG150" s="5"/>
      <c r="XH150" s="5"/>
      <c r="XI150" s="5"/>
      <c r="XJ150" s="5"/>
      <c r="XK150" s="5"/>
      <c r="XL150" s="5"/>
      <c r="XM150" s="5"/>
      <c r="XN150" s="5"/>
      <c r="XO150" s="5"/>
      <c r="XP150" s="5"/>
      <c r="XQ150" s="5"/>
      <c r="XR150" s="5"/>
      <c r="XS150" s="5"/>
      <c r="XT150" s="5"/>
      <c r="XU150" s="5"/>
      <c r="XV150" s="5"/>
      <c r="XW150" s="5"/>
      <c r="XX150" s="5"/>
      <c r="XY150" s="5"/>
      <c r="XZ150" s="5"/>
      <c r="YA150" s="5"/>
      <c r="YB150" s="5"/>
      <c r="YC150" s="5"/>
      <c r="YD150" s="5"/>
      <c r="YE150" s="5"/>
      <c r="YF150" s="5"/>
      <c r="YG150" s="5"/>
      <c r="YH150" s="5"/>
      <c r="YI150" s="5"/>
      <c r="YJ150" s="5"/>
      <c r="YK150" s="5"/>
      <c r="YL150" s="5"/>
      <c r="YM150" s="5"/>
      <c r="YN150" s="5"/>
      <c r="YO150" s="5"/>
      <c r="YP150" s="5"/>
      <c r="YQ150" s="5"/>
      <c r="YR150" s="5"/>
      <c r="YS150" s="5"/>
      <c r="YT150" s="5"/>
      <c r="YU150" s="5"/>
      <c r="YV150" s="5"/>
      <c r="YW150" s="5"/>
      <c r="YX150" s="5"/>
      <c r="YY150" s="5"/>
      <c r="YZ150" s="5"/>
      <c r="ZA150" s="5"/>
      <c r="ZB150" s="5"/>
      <c r="ZC150" s="5"/>
      <c r="ZD150" s="5"/>
      <c r="ZE150" s="5"/>
      <c r="ZF150" s="5"/>
      <c r="ZG150" s="5"/>
      <c r="ZH150" s="5"/>
      <c r="ZI150" s="5"/>
      <c r="ZJ150" s="5"/>
      <c r="ZK150" s="5"/>
      <c r="ZL150" s="5"/>
      <c r="ZM150" s="5"/>
      <c r="ZN150" s="5"/>
      <c r="ZO150" s="5"/>
      <c r="ZP150" s="5"/>
      <c r="ZQ150" s="5"/>
      <c r="ZR150" s="5"/>
      <c r="ZS150" s="5"/>
      <c r="ZT150" s="5"/>
      <c r="ZU150" s="5"/>
      <c r="ZV150" s="5"/>
      <c r="ZW150" s="5"/>
      <c r="ZX150" s="5"/>
      <c r="ZY150" s="5"/>
      <c r="ZZ150" s="5"/>
      <c r="AAA150" s="5"/>
      <c r="AAB150" s="5"/>
      <c r="AAC150" s="5"/>
      <c r="AAD150" s="5"/>
      <c r="AAE150" s="5"/>
      <c r="AAF150" s="5"/>
      <c r="AAG150" s="5"/>
      <c r="AAH150" s="5"/>
      <c r="AAI150" s="5"/>
      <c r="AAJ150" s="5"/>
      <c r="AAK150" s="5"/>
      <c r="AAL150" s="5"/>
      <c r="AAM150" s="5"/>
      <c r="AAN150" s="5"/>
      <c r="AAO150" s="5"/>
      <c r="AAP150" s="5"/>
      <c r="AAQ150" s="5"/>
      <c r="AAR150" s="5"/>
      <c r="AAS150" s="5"/>
      <c r="AAT150" s="5"/>
      <c r="AAU150" s="5"/>
      <c r="AAV150" s="5"/>
      <c r="AAW150" s="5"/>
      <c r="AAX150" s="5"/>
      <c r="AAY150" s="5"/>
      <c r="AAZ150" s="5"/>
      <c r="ABA150" s="5"/>
      <c r="ABB150" s="5"/>
      <c r="ABC150" s="5"/>
      <c r="ABD150" s="5"/>
      <c r="ABE150" s="5"/>
      <c r="ABF150" s="5"/>
      <c r="ABG150" s="5"/>
      <c r="ABH150" s="5"/>
      <c r="ABI150" s="5"/>
      <c r="ABJ150" s="5"/>
      <c r="ABK150" s="5"/>
      <c r="ABL150" s="5"/>
      <c r="ABM150" s="5"/>
      <c r="ABN150" s="5"/>
      <c r="ABO150" s="5"/>
      <c r="ABP150" s="5"/>
      <c r="ABQ150" s="5"/>
      <c r="ABR150" s="5"/>
      <c r="ABS150" s="5"/>
      <c r="ABT150" s="5"/>
      <c r="ABU150" s="5"/>
      <c r="ABV150" s="5"/>
      <c r="ABW150" s="5"/>
      <c r="ABX150" s="5"/>
      <c r="ABY150" s="5"/>
      <c r="ABZ150" s="5"/>
      <c r="ACA150" s="5"/>
      <c r="ACB150" s="5"/>
      <c r="ACC150" s="5"/>
      <c r="ACD150" s="5"/>
      <c r="ACE150" s="5"/>
      <c r="ACF150" s="5"/>
      <c r="ACG150" s="5"/>
      <c r="ACH150" s="5"/>
      <c r="ACI150" s="5"/>
      <c r="ACJ150" s="5"/>
      <c r="ACK150" s="5"/>
      <c r="ACL150" s="5"/>
      <c r="ACM150" s="5"/>
      <c r="ACN150" s="5"/>
      <c r="ACO150" s="5"/>
      <c r="ACP150" s="5"/>
      <c r="ACQ150" s="5"/>
      <c r="ACR150" s="5"/>
      <c r="ACS150" s="5"/>
      <c r="ACT150" s="5"/>
      <c r="ACU150" s="5"/>
      <c r="ACV150" s="5"/>
      <c r="ACW150" s="5"/>
      <c r="ACX150" s="5"/>
      <c r="ACY150" s="5"/>
      <c r="ACZ150" s="5"/>
      <c r="ADA150" s="5"/>
      <c r="ADB150" s="5"/>
      <c r="ADC150" s="5"/>
      <c r="ADD150" s="5"/>
      <c r="ADE150" s="5"/>
      <c r="ADF150" s="5"/>
      <c r="ADG150" s="5"/>
      <c r="ADH150" s="5"/>
      <c r="ADI150" s="5"/>
      <c r="ADJ150" s="5"/>
      <c r="ADK150" s="5"/>
      <c r="ADL150" s="5"/>
      <c r="ADM150" s="5"/>
      <c r="ADN150" s="5"/>
      <c r="ADO150" s="5"/>
      <c r="ADP150" s="5"/>
      <c r="ADQ150" s="5"/>
      <c r="ADR150" s="5"/>
      <c r="ADS150" s="5"/>
      <c r="ADT150" s="5"/>
      <c r="ADU150" s="5"/>
      <c r="ADV150" s="5"/>
      <c r="ADW150" s="5"/>
      <c r="ADX150" s="5"/>
      <c r="ADY150" s="5"/>
      <c r="ADZ150" s="5"/>
      <c r="AEA150" s="5"/>
      <c r="AEB150" s="5"/>
      <c r="AEC150" s="5"/>
      <c r="AED150" s="5"/>
      <c r="AEE150" s="5"/>
      <c r="AEF150" s="5"/>
      <c r="AEG150" s="5"/>
      <c r="AEH150" s="5"/>
      <c r="AEI150" s="5"/>
      <c r="AEJ150" s="5"/>
      <c r="AEK150" s="5"/>
      <c r="AEL150" s="5"/>
      <c r="AEM150" s="5"/>
      <c r="AEN150" s="5"/>
      <c r="AEO150" s="5"/>
      <c r="AEP150" s="5"/>
      <c r="AEQ150" s="5"/>
      <c r="AER150" s="5"/>
      <c r="AES150" s="5"/>
      <c r="AET150" s="5"/>
      <c r="AEU150" s="5"/>
      <c r="AEV150" s="5"/>
      <c r="AEW150" s="5"/>
      <c r="AEX150" s="5"/>
      <c r="AEY150" s="5"/>
      <c r="AEZ150" s="5"/>
      <c r="AFA150" s="5"/>
      <c r="AFB150" s="5"/>
      <c r="AFC150" s="5"/>
      <c r="AFD150" s="5"/>
      <c r="AFE150" s="5"/>
      <c r="AFF150" s="5"/>
      <c r="AFG150" s="5"/>
      <c r="AFH150" s="5"/>
      <c r="AFI150" s="5"/>
      <c r="AFJ150" s="5"/>
      <c r="AFK150" s="5"/>
      <c r="AFL150" s="5"/>
      <c r="AFM150" s="5"/>
      <c r="AFN150" s="5"/>
      <c r="AFO150" s="5"/>
      <c r="AFP150" s="5"/>
      <c r="AFQ150" s="5"/>
      <c r="AFR150" s="5"/>
      <c r="AFS150" s="5"/>
      <c r="AFT150" s="5"/>
      <c r="AFU150" s="5"/>
      <c r="AFV150" s="5"/>
      <c r="AFW150" s="5"/>
      <c r="AFX150" s="5"/>
      <c r="AFY150" s="5"/>
      <c r="AFZ150" s="5"/>
      <c r="AGA150" s="5"/>
      <c r="AGB150" s="5"/>
      <c r="AGC150" s="5"/>
      <c r="AGD150" s="5"/>
      <c r="AGE150" s="5"/>
      <c r="AGF150" s="5"/>
      <c r="AGG150" s="5"/>
      <c r="AGH150" s="5"/>
      <c r="AGI150" s="5"/>
      <c r="AGJ150" s="5"/>
      <c r="AGK150" s="5"/>
      <c r="AGL150" s="5"/>
      <c r="AGM150" s="5"/>
      <c r="AGN150" s="5"/>
      <c r="AGO150" s="5"/>
      <c r="AGP150" s="5"/>
      <c r="AGQ150" s="5"/>
      <c r="AGR150" s="5"/>
      <c r="AGS150" s="5"/>
      <c r="AGT150" s="5"/>
      <c r="AGU150" s="5"/>
      <c r="AGV150" s="5"/>
      <c r="AGW150" s="5"/>
      <c r="AGX150" s="5"/>
      <c r="AGY150" s="5"/>
      <c r="AGZ150" s="5"/>
      <c r="AHA150" s="5"/>
      <c r="AHB150" s="5"/>
      <c r="AHC150" s="5"/>
      <c r="AHD150" s="5"/>
      <c r="AHE150" s="5"/>
      <c r="AHF150" s="5"/>
      <c r="AHG150" s="5"/>
      <c r="AHH150" s="5"/>
      <c r="AHI150" s="5"/>
      <c r="AHJ150" s="5"/>
      <c r="AHK150" s="5"/>
      <c r="AHL150" s="5"/>
      <c r="AHM150" s="5"/>
      <c r="AHN150" s="5"/>
      <c r="AHO150" s="5"/>
      <c r="AHP150" s="5"/>
      <c r="AHQ150" s="5"/>
      <c r="AHR150" s="5"/>
      <c r="AHS150" s="5"/>
      <c r="AHT150" s="5"/>
      <c r="AHU150" s="5"/>
      <c r="AHV150" s="5"/>
      <c r="AHW150" s="5"/>
      <c r="AHX150" s="5"/>
      <c r="AHY150" s="5"/>
      <c r="AHZ150" s="5"/>
      <c r="AIA150" s="5"/>
      <c r="AIB150" s="5"/>
      <c r="AIC150" s="5"/>
      <c r="AID150" s="5"/>
      <c r="AIE150" s="5"/>
      <c r="AIF150" s="5"/>
      <c r="AIG150" s="5"/>
      <c r="AIH150" s="5"/>
      <c r="AII150" s="5"/>
      <c r="AIJ150" s="5"/>
      <c r="AIK150" s="5"/>
      <c r="AIL150" s="5"/>
      <c r="AIM150" s="5"/>
      <c r="AIN150" s="5"/>
      <c r="AIO150" s="5"/>
      <c r="AIP150" s="5"/>
      <c r="AIQ150" s="5"/>
      <c r="AIR150" s="5"/>
      <c r="AIS150" s="5"/>
      <c r="AIT150" s="5"/>
      <c r="AIU150" s="5"/>
      <c r="AIV150" s="5"/>
      <c r="AIW150" s="5"/>
      <c r="AIX150" s="5"/>
      <c r="AIY150" s="5"/>
      <c r="AIZ150" s="5"/>
      <c r="AJA150" s="5"/>
      <c r="AJB150" s="5"/>
      <c r="AJC150" s="5"/>
      <c r="AJD150" s="5"/>
      <c r="AJE150" s="5"/>
      <c r="AJF150" s="5"/>
      <c r="AJG150" s="5"/>
      <c r="AJH150" s="5"/>
      <c r="AJI150" s="5"/>
      <c r="AJJ150" s="5"/>
      <c r="AJK150" s="5"/>
      <c r="AJL150" s="5"/>
      <c r="AJM150" s="5"/>
      <c r="AJN150" s="5"/>
      <c r="AJO150" s="5"/>
      <c r="AJP150" s="5"/>
      <c r="AJQ150" s="5"/>
      <c r="AJR150" s="5"/>
      <c r="AJS150" s="5"/>
      <c r="AJT150" s="5"/>
      <c r="AJU150" s="5"/>
      <c r="AJV150" s="5"/>
      <c r="AJW150" s="5"/>
      <c r="AJX150" s="5"/>
      <c r="AJY150" s="5"/>
      <c r="AJZ150" s="5"/>
      <c r="AKA150" s="5"/>
      <c r="AKB150" s="5"/>
      <c r="AKC150" s="5"/>
      <c r="AKD150" s="5"/>
      <c r="AKE150" s="5"/>
      <c r="AKF150" s="5"/>
      <c r="AKG150" s="5"/>
      <c r="AKH150" s="5"/>
      <c r="AKI150" s="5"/>
      <c r="AKJ150" s="5"/>
      <c r="AKK150" s="5"/>
      <c r="AKL150" s="5"/>
      <c r="AKM150" s="5"/>
      <c r="AKN150" s="5"/>
      <c r="AKO150" s="5"/>
      <c r="AKP150" s="5"/>
      <c r="AKQ150" s="5"/>
      <c r="AKR150" s="5"/>
      <c r="AKS150" s="5"/>
      <c r="AKT150" s="5"/>
      <c r="AKU150" s="5"/>
      <c r="AKV150" s="5"/>
      <c r="AKW150" s="5"/>
      <c r="AKX150" s="5"/>
      <c r="AKY150" s="5"/>
      <c r="AKZ150" s="5"/>
      <c r="ALA150" s="5"/>
      <c r="ALB150" s="5"/>
      <c r="ALC150" s="5"/>
      <c r="ALD150" s="5"/>
      <c r="ALE150" s="5"/>
      <c r="ALF150" s="5"/>
      <c r="ALG150" s="5"/>
      <c r="ALH150" s="5"/>
      <c r="ALI150" s="5"/>
      <c r="ALJ150" s="5"/>
      <c r="ALK150" s="5"/>
      <c r="ALL150" s="5"/>
      <c r="ALM150" s="5"/>
      <c r="ALN150" s="5"/>
      <c r="ALO150" s="5"/>
      <c r="ALP150" s="5"/>
      <c r="ALQ150" s="5"/>
      <c r="ALR150" s="5"/>
      <c r="ALS150" s="5"/>
      <c r="ALT150" s="5"/>
      <c r="ALU150" s="5"/>
      <c r="ALV150" s="5"/>
      <c r="ALW150" s="5"/>
      <c r="ALX150" s="5"/>
      <c r="ALY150" s="5"/>
      <c r="ALZ150" s="5"/>
      <c r="AMA150" s="5"/>
      <c r="AMB150" s="5"/>
      <c r="AMC150" s="5"/>
    </row>
    <row r="151" spans="1:1017" ht="15" thickBot="1" x14ac:dyDescent="0.25">
      <c r="A151" s="708"/>
      <c r="B151" s="709" t="s">
        <v>279</v>
      </c>
      <c r="C151" s="710"/>
      <c r="D151" s="711"/>
      <c r="E151" s="711"/>
      <c r="F151" s="712"/>
      <c r="G151" s="685">
        <f t="shared" ref="G151:L151" si="10">SUM(G148:G149)</f>
        <v>78549</v>
      </c>
      <c r="H151" s="686">
        <f t="shared" si="10"/>
        <v>73910.039999999994</v>
      </c>
      <c r="I151" s="685">
        <f t="shared" si="10"/>
        <v>0</v>
      </c>
      <c r="J151" s="713">
        <f t="shared" si="10"/>
        <v>125454.46999999999</v>
      </c>
      <c r="K151" s="686">
        <f t="shared" si="10"/>
        <v>0</v>
      </c>
      <c r="L151" s="245">
        <f t="shared" si="10"/>
        <v>0</v>
      </c>
    </row>
    <row r="152" spans="1:1017" x14ac:dyDescent="0.2">
      <c r="A152" s="10"/>
      <c r="B152" s="44"/>
      <c r="C152" s="44"/>
      <c r="D152" s="44"/>
      <c r="E152" s="44"/>
      <c r="F152" s="44"/>
      <c r="G152" s="263"/>
      <c r="H152" s="263"/>
      <c r="I152" s="10"/>
      <c r="J152" s="622"/>
      <c r="K152" s="263"/>
      <c r="L152" s="206"/>
    </row>
    <row r="153" spans="1:1017" x14ac:dyDescent="0.2">
      <c r="A153" s="10"/>
      <c r="B153" s="44"/>
      <c r="C153" s="44"/>
      <c r="D153" s="44"/>
      <c r="E153" s="44"/>
      <c r="F153" s="44"/>
      <c r="G153" s="263"/>
      <c r="H153" s="263"/>
      <c r="I153" s="265"/>
      <c r="J153" s="634"/>
      <c r="K153" s="263"/>
      <c r="L153" s="267"/>
    </row>
    <row r="154" spans="1:1017" ht="15" customHeight="1" thickBot="1" x14ac:dyDescent="0.25">
      <c r="A154" s="750" t="s">
        <v>306</v>
      </c>
      <c r="B154" s="750"/>
      <c r="C154" s="750"/>
      <c r="D154" s="750"/>
      <c r="E154" s="750"/>
      <c r="F154" s="750"/>
      <c r="G154" s="750"/>
      <c r="H154" s="750"/>
      <c r="I154" s="750"/>
      <c r="J154" s="750"/>
      <c r="K154" s="750"/>
      <c r="L154" s="750"/>
    </row>
    <row r="155" spans="1:1017" ht="15" customHeight="1" thickBot="1" x14ac:dyDescent="0.25">
      <c r="A155" s="52" t="s">
        <v>2</v>
      </c>
      <c r="B155" s="52" t="s">
        <v>3</v>
      </c>
      <c r="C155" s="768">
        <v>2013</v>
      </c>
      <c r="D155" s="768"/>
      <c r="E155" s="774">
        <v>2014</v>
      </c>
      <c r="F155" s="774"/>
      <c r="G155" s="753">
        <v>2015</v>
      </c>
      <c r="H155" s="753"/>
      <c r="I155" s="752">
        <f>$I$2</f>
        <v>2019</v>
      </c>
      <c r="J155" s="752"/>
      <c r="K155" s="752"/>
      <c r="L155" s="754" t="str">
        <f>$L$2</f>
        <v>2020 Proposed</v>
      </c>
    </row>
    <row r="156" spans="1:1017" ht="15" customHeight="1" x14ac:dyDescent="0.2">
      <c r="A156" s="268" t="s">
        <v>307</v>
      </c>
      <c r="B156" s="269"/>
      <c r="C156" s="270"/>
      <c r="D156" s="271" t="s">
        <v>5</v>
      </c>
      <c r="E156" s="10" t="s">
        <v>4</v>
      </c>
      <c r="F156" s="10" t="s">
        <v>5</v>
      </c>
      <c r="G156" s="68" t="s">
        <v>6</v>
      </c>
      <c r="H156" s="116" t="s">
        <v>4</v>
      </c>
      <c r="I156" s="68" t="s">
        <v>6</v>
      </c>
      <c r="J156" s="688" t="str">
        <f>$J$3</f>
        <v>As of 10/31</v>
      </c>
      <c r="K156" s="69" t="s">
        <v>8</v>
      </c>
      <c r="L156" s="758"/>
    </row>
    <row r="157" spans="1:1017" ht="15" customHeight="1" x14ac:dyDescent="0.2">
      <c r="A157" s="735"/>
      <c r="B157" s="735" t="s">
        <v>658</v>
      </c>
      <c r="C157" s="736"/>
      <c r="D157" s="736"/>
      <c r="E157" s="736"/>
      <c r="F157" s="736"/>
      <c r="G157" s="737"/>
      <c r="H157" s="737"/>
      <c r="I157" s="738"/>
      <c r="J157" s="739">
        <v>10000</v>
      </c>
      <c r="K157" s="738"/>
      <c r="L157" s="740">
        <v>10000</v>
      </c>
    </row>
    <row r="158" spans="1:1017" s="676" customFormat="1" ht="15" customHeight="1" x14ac:dyDescent="0.2">
      <c r="A158" s="735"/>
      <c r="B158" s="735" t="s">
        <v>659</v>
      </c>
      <c r="C158" s="736"/>
      <c r="D158" s="736"/>
      <c r="E158" s="736"/>
      <c r="F158" s="736"/>
      <c r="G158" s="737"/>
      <c r="H158" s="737"/>
      <c r="I158" s="738"/>
      <c r="J158" s="739">
        <v>10000</v>
      </c>
      <c r="K158" s="738"/>
      <c r="L158" s="740">
        <v>10000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  <c r="UE158" s="5"/>
      <c r="UF158" s="5"/>
      <c r="UG158" s="5"/>
      <c r="UH158" s="5"/>
      <c r="UI158" s="5"/>
      <c r="UJ158" s="5"/>
      <c r="UK158" s="5"/>
      <c r="UL158" s="5"/>
      <c r="UM158" s="5"/>
      <c r="UN158" s="5"/>
      <c r="UO158" s="5"/>
      <c r="UP158" s="5"/>
      <c r="UQ158" s="5"/>
      <c r="UR158" s="5"/>
      <c r="US158" s="5"/>
      <c r="UT158" s="5"/>
      <c r="UU158" s="5"/>
      <c r="UV158" s="5"/>
      <c r="UW158" s="5"/>
      <c r="UX158" s="5"/>
      <c r="UY158" s="5"/>
      <c r="UZ158" s="5"/>
      <c r="VA158" s="5"/>
      <c r="VB158" s="5"/>
      <c r="VC158" s="5"/>
      <c r="VD158" s="5"/>
      <c r="VE158" s="5"/>
      <c r="VF158" s="5"/>
      <c r="VG158" s="5"/>
      <c r="VH158" s="5"/>
      <c r="VI158" s="5"/>
      <c r="VJ158" s="5"/>
      <c r="VK158" s="5"/>
      <c r="VL158" s="5"/>
      <c r="VM158" s="5"/>
      <c r="VN158" s="5"/>
      <c r="VO158" s="5"/>
      <c r="VP158" s="5"/>
      <c r="VQ158" s="5"/>
      <c r="VR158" s="5"/>
      <c r="VS158" s="5"/>
      <c r="VT158" s="5"/>
      <c r="VU158" s="5"/>
      <c r="VV158" s="5"/>
      <c r="VW158" s="5"/>
      <c r="VX158" s="5"/>
      <c r="VY158" s="5"/>
      <c r="VZ158" s="5"/>
      <c r="WA158" s="5"/>
      <c r="WB158" s="5"/>
      <c r="WC158" s="5"/>
      <c r="WD158" s="5"/>
      <c r="WE158" s="5"/>
      <c r="WF158" s="5"/>
      <c r="WG158" s="5"/>
      <c r="WH158" s="5"/>
      <c r="WI158" s="5"/>
      <c r="WJ158" s="5"/>
      <c r="WK158" s="5"/>
      <c r="WL158" s="5"/>
      <c r="WM158" s="5"/>
      <c r="WN158" s="5"/>
      <c r="WO158" s="5"/>
      <c r="WP158" s="5"/>
      <c r="WQ158" s="5"/>
      <c r="WR158" s="5"/>
      <c r="WS158" s="5"/>
      <c r="WT158" s="5"/>
      <c r="WU158" s="5"/>
      <c r="WV158" s="5"/>
      <c r="WW158" s="5"/>
      <c r="WX158" s="5"/>
      <c r="WY158" s="5"/>
      <c r="WZ158" s="5"/>
      <c r="XA158" s="5"/>
      <c r="XB158" s="5"/>
      <c r="XC158" s="5"/>
      <c r="XD158" s="5"/>
      <c r="XE158" s="5"/>
      <c r="XF158" s="5"/>
      <c r="XG158" s="5"/>
      <c r="XH158" s="5"/>
      <c r="XI158" s="5"/>
      <c r="XJ158" s="5"/>
      <c r="XK158" s="5"/>
      <c r="XL158" s="5"/>
      <c r="XM158" s="5"/>
      <c r="XN158" s="5"/>
      <c r="XO158" s="5"/>
      <c r="XP158" s="5"/>
      <c r="XQ158" s="5"/>
      <c r="XR158" s="5"/>
      <c r="XS158" s="5"/>
      <c r="XT158" s="5"/>
      <c r="XU158" s="5"/>
      <c r="XV158" s="5"/>
      <c r="XW158" s="5"/>
      <c r="XX158" s="5"/>
      <c r="XY158" s="5"/>
      <c r="XZ158" s="5"/>
      <c r="YA158" s="5"/>
      <c r="YB158" s="5"/>
      <c r="YC158" s="5"/>
      <c r="YD158" s="5"/>
      <c r="YE158" s="5"/>
      <c r="YF158" s="5"/>
      <c r="YG158" s="5"/>
      <c r="YH158" s="5"/>
      <c r="YI158" s="5"/>
      <c r="YJ158" s="5"/>
      <c r="YK158" s="5"/>
      <c r="YL158" s="5"/>
      <c r="YM158" s="5"/>
      <c r="YN158" s="5"/>
      <c r="YO158" s="5"/>
      <c r="YP158" s="5"/>
      <c r="YQ158" s="5"/>
      <c r="YR158" s="5"/>
      <c r="YS158" s="5"/>
      <c r="YT158" s="5"/>
      <c r="YU158" s="5"/>
      <c r="YV158" s="5"/>
      <c r="YW158" s="5"/>
      <c r="YX158" s="5"/>
      <c r="YY158" s="5"/>
      <c r="YZ158" s="5"/>
      <c r="ZA158" s="5"/>
      <c r="ZB158" s="5"/>
      <c r="ZC158" s="5"/>
      <c r="ZD158" s="5"/>
      <c r="ZE158" s="5"/>
      <c r="ZF158" s="5"/>
      <c r="ZG158" s="5"/>
      <c r="ZH158" s="5"/>
      <c r="ZI158" s="5"/>
      <c r="ZJ158" s="5"/>
      <c r="ZK158" s="5"/>
      <c r="ZL158" s="5"/>
      <c r="ZM158" s="5"/>
      <c r="ZN158" s="5"/>
      <c r="ZO158" s="5"/>
      <c r="ZP158" s="5"/>
      <c r="ZQ158" s="5"/>
      <c r="ZR158" s="5"/>
      <c r="ZS158" s="5"/>
      <c r="ZT158" s="5"/>
      <c r="ZU158" s="5"/>
      <c r="ZV158" s="5"/>
      <c r="ZW158" s="5"/>
      <c r="ZX158" s="5"/>
      <c r="ZY158" s="5"/>
      <c r="ZZ158" s="5"/>
      <c r="AAA158" s="5"/>
      <c r="AAB158" s="5"/>
      <c r="AAC158" s="5"/>
      <c r="AAD158" s="5"/>
      <c r="AAE158" s="5"/>
      <c r="AAF158" s="5"/>
      <c r="AAG158" s="5"/>
      <c r="AAH158" s="5"/>
      <c r="AAI158" s="5"/>
      <c r="AAJ158" s="5"/>
      <c r="AAK158" s="5"/>
      <c r="AAL158" s="5"/>
      <c r="AAM158" s="5"/>
      <c r="AAN158" s="5"/>
      <c r="AAO158" s="5"/>
      <c r="AAP158" s="5"/>
      <c r="AAQ158" s="5"/>
      <c r="AAR158" s="5"/>
      <c r="AAS158" s="5"/>
      <c r="AAT158" s="5"/>
      <c r="AAU158" s="5"/>
      <c r="AAV158" s="5"/>
      <c r="AAW158" s="5"/>
      <c r="AAX158" s="5"/>
      <c r="AAY158" s="5"/>
      <c r="AAZ158" s="5"/>
      <c r="ABA158" s="5"/>
      <c r="ABB158" s="5"/>
      <c r="ABC158" s="5"/>
      <c r="ABD158" s="5"/>
      <c r="ABE158" s="5"/>
      <c r="ABF158" s="5"/>
      <c r="ABG158" s="5"/>
      <c r="ABH158" s="5"/>
      <c r="ABI158" s="5"/>
      <c r="ABJ158" s="5"/>
      <c r="ABK158" s="5"/>
      <c r="ABL158" s="5"/>
      <c r="ABM158" s="5"/>
      <c r="ABN158" s="5"/>
      <c r="ABO158" s="5"/>
      <c r="ABP158" s="5"/>
      <c r="ABQ158" s="5"/>
      <c r="ABR158" s="5"/>
      <c r="ABS158" s="5"/>
      <c r="ABT158" s="5"/>
      <c r="ABU158" s="5"/>
      <c r="ABV158" s="5"/>
      <c r="ABW158" s="5"/>
      <c r="ABX158" s="5"/>
      <c r="ABY158" s="5"/>
      <c r="ABZ158" s="5"/>
      <c r="ACA158" s="5"/>
      <c r="ACB158" s="5"/>
      <c r="ACC158" s="5"/>
      <c r="ACD158" s="5"/>
      <c r="ACE158" s="5"/>
      <c r="ACF158" s="5"/>
      <c r="ACG158" s="5"/>
      <c r="ACH158" s="5"/>
      <c r="ACI158" s="5"/>
      <c r="ACJ158" s="5"/>
      <c r="ACK158" s="5"/>
      <c r="ACL158" s="5"/>
      <c r="ACM158" s="5"/>
      <c r="ACN158" s="5"/>
      <c r="ACO158" s="5"/>
      <c r="ACP158" s="5"/>
      <c r="ACQ158" s="5"/>
      <c r="ACR158" s="5"/>
      <c r="ACS158" s="5"/>
      <c r="ACT158" s="5"/>
      <c r="ACU158" s="5"/>
      <c r="ACV158" s="5"/>
      <c r="ACW158" s="5"/>
      <c r="ACX158" s="5"/>
      <c r="ACY158" s="5"/>
      <c r="ACZ158" s="5"/>
      <c r="ADA158" s="5"/>
      <c r="ADB158" s="5"/>
      <c r="ADC158" s="5"/>
      <c r="ADD158" s="5"/>
      <c r="ADE158" s="5"/>
      <c r="ADF158" s="5"/>
      <c r="ADG158" s="5"/>
      <c r="ADH158" s="5"/>
      <c r="ADI158" s="5"/>
      <c r="ADJ158" s="5"/>
      <c r="ADK158" s="5"/>
      <c r="ADL158" s="5"/>
      <c r="ADM158" s="5"/>
      <c r="ADN158" s="5"/>
      <c r="ADO158" s="5"/>
      <c r="ADP158" s="5"/>
      <c r="ADQ158" s="5"/>
      <c r="ADR158" s="5"/>
      <c r="ADS158" s="5"/>
      <c r="ADT158" s="5"/>
      <c r="ADU158" s="5"/>
      <c r="ADV158" s="5"/>
      <c r="ADW158" s="5"/>
      <c r="ADX158" s="5"/>
      <c r="ADY158" s="5"/>
      <c r="ADZ158" s="5"/>
      <c r="AEA158" s="5"/>
      <c r="AEB158" s="5"/>
      <c r="AEC158" s="5"/>
      <c r="AED158" s="5"/>
      <c r="AEE158" s="5"/>
      <c r="AEF158" s="5"/>
      <c r="AEG158" s="5"/>
      <c r="AEH158" s="5"/>
      <c r="AEI158" s="5"/>
      <c r="AEJ158" s="5"/>
      <c r="AEK158" s="5"/>
      <c r="AEL158" s="5"/>
      <c r="AEM158" s="5"/>
      <c r="AEN158" s="5"/>
      <c r="AEO158" s="5"/>
      <c r="AEP158" s="5"/>
      <c r="AEQ158" s="5"/>
      <c r="AER158" s="5"/>
      <c r="AES158" s="5"/>
      <c r="AET158" s="5"/>
      <c r="AEU158" s="5"/>
      <c r="AEV158" s="5"/>
      <c r="AEW158" s="5"/>
      <c r="AEX158" s="5"/>
      <c r="AEY158" s="5"/>
      <c r="AEZ158" s="5"/>
      <c r="AFA158" s="5"/>
      <c r="AFB158" s="5"/>
      <c r="AFC158" s="5"/>
      <c r="AFD158" s="5"/>
      <c r="AFE158" s="5"/>
      <c r="AFF158" s="5"/>
      <c r="AFG158" s="5"/>
      <c r="AFH158" s="5"/>
      <c r="AFI158" s="5"/>
      <c r="AFJ158" s="5"/>
      <c r="AFK158" s="5"/>
      <c r="AFL158" s="5"/>
      <c r="AFM158" s="5"/>
      <c r="AFN158" s="5"/>
      <c r="AFO158" s="5"/>
      <c r="AFP158" s="5"/>
      <c r="AFQ158" s="5"/>
      <c r="AFR158" s="5"/>
      <c r="AFS158" s="5"/>
      <c r="AFT158" s="5"/>
      <c r="AFU158" s="5"/>
      <c r="AFV158" s="5"/>
      <c r="AFW158" s="5"/>
      <c r="AFX158" s="5"/>
      <c r="AFY158" s="5"/>
      <c r="AFZ158" s="5"/>
      <c r="AGA158" s="5"/>
      <c r="AGB158" s="5"/>
      <c r="AGC158" s="5"/>
      <c r="AGD158" s="5"/>
      <c r="AGE158" s="5"/>
      <c r="AGF158" s="5"/>
      <c r="AGG158" s="5"/>
      <c r="AGH158" s="5"/>
      <c r="AGI158" s="5"/>
      <c r="AGJ158" s="5"/>
      <c r="AGK158" s="5"/>
      <c r="AGL158" s="5"/>
      <c r="AGM158" s="5"/>
      <c r="AGN158" s="5"/>
      <c r="AGO158" s="5"/>
      <c r="AGP158" s="5"/>
      <c r="AGQ158" s="5"/>
      <c r="AGR158" s="5"/>
      <c r="AGS158" s="5"/>
      <c r="AGT158" s="5"/>
      <c r="AGU158" s="5"/>
      <c r="AGV158" s="5"/>
      <c r="AGW158" s="5"/>
      <c r="AGX158" s="5"/>
      <c r="AGY158" s="5"/>
      <c r="AGZ158" s="5"/>
      <c r="AHA158" s="5"/>
      <c r="AHB158" s="5"/>
      <c r="AHC158" s="5"/>
      <c r="AHD158" s="5"/>
      <c r="AHE158" s="5"/>
      <c r="AHF158" s="5"/>
      <c r="AHG158" s="5"/>
      <c r="AHH158" s="5"/>
      <c r="AHI158" s="5"/>
      <c r="AHJ158" s="5"/>
      <c r="AHK158" s="5"/>
      <c r="AHL158" s="5"/>
      <c r="AHM158" s="5"/>
      <c r="AHN158" s="5"/>
      <c r="AHO158" s="5"/>
      <c r="AHP158" s="5"/>
      <c r="AHQ158" s="5"/>
      <c r="AHR158" s="5"/>
      <c r="AHS158" s="5"/>
      <c r="AHT158" s="5"/>
      <c r="AHU158" s="5"/>
      <c r="AHV158" s="5"/>
      <c r="AHW158" s="5"/>
      <c r="AHX158" s="5"/>
      <c r="AHY158" s="5"/>
      <c r="AHZ158" s="5"/>
      <c r="AIA158" s="5"/>
      <c r="AIB158" s="5"/>
      <c r="AIC158" s="5"/>
      <c r="AID158" s="5"/>
      <c r="AIE158" s="5"/>
      <c r="AIF158" s="5"/>
      <c r="AIG158" s="5"/>
      <c r="AIH158" s="5"/>
      <c r="AII158" s="5"/>
      <c r="AIJ158" s="5"/>
      <c r="AIK158" s="5"/>
      <c r="AIL158" s="5"/>
      <c r="AIM158" s="5"/>
      <c r="AIN158" s="5"/>
      <c r="AIO158" s="5"/>
      <c r="AIP158" s="5"/>
      <c r="AIQ158" s="5"/>
      <c r="AIR158" s="5"/>
      <c r="AIS158" s="5"/>
      <c r="AIT158" s="5"/>
      <c r="AIU158" s="5"/>
      <c r="AIV158" s="5"/>
      <c r="AIW158" s="5"/>
      <c r="AIX158" s="5"/>
      <c r="AIY158" s="5"/>
      <c r="AIZ158" s="5"/>
      <c r="AJA158" s="5"/>
      <c r="AJB158" s="5"/>
      <c r="AJC158" s="5"/>
      <c r="AJD158" s="5"/>
      <c r="AJE158" s="5"/>
      <c r="AJF158" s="5"/>
      <c r="AJG158" s="5"/>
      <c r="AJH158" s="5"/>
      <c r="AJI158" s="5"/>
      <c r="AJJ158" s="5"/>
      <c r="AJK158" s="5"/>
      <c r="AJL158" s="5"/>
      <c r="AJM158" s="5"/>
      <c r="AJN158" s="5"/>
      <c r="AJO158" s="5"/>
      <c r="AJP158" s="5"/>
      <c r="AJQ158" s="5"/>
      <c r="AJR158" s="5"/>
      <c r="AJS158" s="5"/>
      <c r="AJT158" s="5"/>
      <c r="AJU158" s="5"/>
      <c r="AJV158" s="5"/>
      <c r="AJW158" s="5"/>
      <c r="AJX158" s="5"/>
      <c r="AJY158" s="5"/>
      <c r="AJZ158" s="5"/>
      <c r="AKA158" s="5"/>
      <c r="AKB158" s="5"/>
      <c r="AKC158" s="5"/>
      <c r="AKD158" s="5"/>
      <c r="AKE158" s="5"/>
      <c r="AKF158" s="5"/>
      <c r="AKG158" s="5"/>
      <c r="AKH158" s="5"/>
      <c r="AKI158" s="5"/>
      <c r="AKJ158" s="5"/>
      <c r="AKK158" s="5"/>
      <c r="AKL158" s="5"/>
      <c r="AKM158" s="5"/>
      <c r="AKN158" s="5"/>
      <c r="AKO158" s="5"/>
      <c r="AKP158" s="5"/>
      <c r="AKQ158" s="5"/>
      <c r="AKR158" s="5"/>
      <c r="AKS158" s="5"/>
      <c r="AKT158" s="5"/>
      <c r="AKU158" s="5"/>
      <c r="AKV158" s="5"/>
      <c r="AKW158" s="5"/>
      <c r="AKX158" s="5"/>
      <c r="AKY158" s="5"/>
      <c r="AKZ158" s="5"/>
      <c r="ALA158" s="5"/>
      <c r="ALB158" s="5"/>
      <c r="ALC158" s="5"/>
      <c r="ALD158" s="5"/>
      <c r="ALE158" s="5"/>
      <c r="ALF158" s="5"/>
      <c r="ALG158" s="5"/>
      <c r="ALH158" s="5"/>
      <c r="ALI158" s="5"/>
      <c r="ALJ158" s="5"/>
      <c r="ALK158" s="5"/>
      <c r="ALL158" s="5"/>
      <c r="ALM158" s="5"/>
      <c r="ALN158" s="5"/>
      <c r="ALO158" s="5"/>
      <c r="ALP158" s="5"/>
      <c r="ALQ158" s="5"/>
      <c r="ALR158" s="5"/>
      <c r="ALS158" s="5"/>
      <c r="ALT158" s="5"/>
      <c r="ALU158" s="5"/>
      <c r="ALV158" s="5"/>
      <c r="ALW158" s="5"/>
      <c r="ALX158" s="5"/>
      <c r="ALY158" s="5"/>
      <c r="ALZ158" s="5"/>
      <c r="AMA158" s="5"/>
      <c r="AMB158" s="5"/>
      <c r="AMC158" s="5"/>
    </row>
    <row r="159" spans="1:1017" ht="15" customHeight="1" x14ac:dyDescent="0.2">
      <c r="A159" s="682"/>
      <c r="B159" s="682" t="s">
        <v>660</v>
      </c>
      <c r="C159" s="741"/>
      <c r="D159" s="741"/>
      <c r="E159" s="741"/>
      <c r="F159" s="741"/>
      <c r="G159" s="742"/>
      <c r="H159" s="742"/>
      <c r="I159" s="742"/>
      <c r="J159" s="743">
        <v>10000</v>
      </c>
      <c r="K159" s="742"/>
      <c r="L159" s="744">
        <v>10000</v>
      </c>
    </row>
    <row r="160" spans="1:1017" s="145" customFormat="1" ht="15" customHeight="1" thickBot="1" x14ac:dyDescent="0.25">
      <c r="A160" s="729"/>
      <c r="B160" s="292" t="s">
        <v>312</v>
      </c>
      <c r="C160" s="293"/>
      <c r="D160" s="293"/>
      <c r="E160" s="293"/>
      <c r="F160" s="293"/>
      <c r="G160" s="730"/>
      <c r="H160" s="731">
        <v>0</v>
      </c>
      <c r="I160" s="732"/>
      <c r="J160" s="733">
        <f>SUM(J157:J159)</f>
        <v>30000</v>
      </c>
      <c r="K160" s="734">
        <f>SUM(K157:K159)</f>
        <v>0</v>
      </c>
      <c r="L160" s="297">
        <f>SUM(L157:L159)</f>
        <v>30000</v>
      </c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622"/>
      <c r="K161" s="10"/>
      <c r="L161" s="206"/>
    </row>
    <row r="162" spans="1:13" x14ac:dyDescent="0.2">
      <c r="A162" s="10"/>
      <c r="B162" s="66"/>
      <c r="C162" s="10"/>
      <c r="D162" s="10"/>
      <c r="E162" s="10"/>
      <c r="F162" s="10"/>
      <c r="G162" s="10"/>
      <c r="H162" s="10"/>
      <c r="I162" s="265"/>
      <c r="J162" s="638">
        <f>SUM(J160+J143+J132+J123+J95+J88)</f>
        <v>615530.28999999992</v>
      </c>
      <c r="K162" s="265">
        <f>SUM(K151+K143+K132+K123+K95+K88)</f>
        <v>90000</v>
      </c>
      <c r="L162" s="298"/>
      <c r="M162" s="747">
        <f>SUM(J162:K162)</f>
        <v>705530.28999999992</v>
      </c>
    </row>
    <row r="163" spans="1:13" x14ac:dyDescent="0.2">
      <c r="A163" s="10"/>
      <c r="B163" s="66"/>
      <c r="C163" s="10"/>
      <c r="D163" s="10"/>
      <c r="E163" s="10"/>
      <c r="F163" s="10"/>
      <c r="G163" s="10"/>
      <c r="H163" s="10"/>
      <c r="I163" s="265"/>
      <c r="J163" s="638"/>
      <c r="K163" s="265"/>
      <c r="L163" s="298"/>
    </row>
    <row r="164" spans="1:13" x14ac:dyDescent="0.2">
      <c r="B164" s="44"/>
      <c r="C164" s="10"/>
      <c r="D164" s="10"/>
      <c r="E164" s="10"/>
      <c r="F164" s="10"/>
      <c r="G164" s="265"/>
      <c r="H164" s="265"/>
      <c r="I164" s="50"/>
      <c r="J164" s="639"/>
      <c r="K164" s="50"/>
      <c r="L164" s="300"/>
    </row>
    <row r="165" spans="1:13" x14ac:dyDescent="0.2">
      <c r="A165" s="301"/>
      <c r="B165" s="10"/>
      <c r="C165" s="10"/>
      <c r="D165" s="10"/>
      <c r="E165" s="10"/>
      <c r="F165" s="10"/>
      <c r="G165" s="301"/>
      <c r="H165" s="301"/>
      <c r="I165" s="10"/>
      <c r="J165" s="622"/>
      <c r="K165" s="301"/>
      <c r="L165" s="206"/>
    </row>
    <row r="167" spans="1:13" ht="9.75" customHeight="1" x14ac:dyDescent="0.2"/>
    <row r="168" spans="1:13" ht="65.849999999999994" customHeight="1" x14ac:dyDescent="0.95">
      <c r="A168" s="773"/>
      <c r="B168" s="773"/>
      <c r="C168" s="773"/>
      <c r="D168" s="773"/>
      <c r="E168" s="773"/>
      <c r="F168" s="773"/>
      <c r="G168" s="773"/>
      <c r="H168" s="773"/>
      <c r="I168" s="773"/>
      <c r="J168" s="773"/>
      <c r="K168" s="773"/>
      <c r="L168" s="773"/>
      <c r="M168" s="568"/>
    </row>
    <row r="219" spans="1:12" x14ac:dyDescent="0.2">
      <c r="A219" s="10"/>
      <c r="B219" s="10"/>
      <c r="C219" s="10"/>
      <c r="D219" s="10"/>
      <c r="E219" s="10"/>
      <c r="F219" s="10"/>
      <c r="G219" s="10"/>
      <c r="H219" s="10"/>
      <c r="I219" s="302"/>
      <c r="J219" s="622"/>
      <c r="K219" s="10"/>
      <c r="L219" s="206"/>
    </row>
    <row r="220" spans="1:12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622"/>
      <c r="K220" s="10"/>
      <c r="L220" s="206"/>
    </row>
  </sheetData>
  <mergeCells count="78">
    <mergeCell ref="A10:L10"/>
    <mergeCell ref="C11:D11"/>
    <mergeCell ref="E11:F11"/>
    <mergeCell ref="G11:H11"/>
    <mergeCell ref="I11:K11"/>
    <mergeCell ref="L11:L12"/>
    <mergeCell ref="A1:L1"/>
    <mergeCell ref="C2:D2"/>
    <mergeCell ref="E2:F2"/>
    <mergeCell ref="G2:H2"/>
    <mergeCell ref="I2:K2"/>
    <mergeCell ref="L2:L3"/>
    <mergeCell ref="A24:C24"/>
    <mergeCell ref="A25:L25"/>
    <mergeCell ref="C26:D26"/>
    <mergeCell ref="E26:F26"/>
    <mergeCell ref="G26:H26"/>
    <mergeCell ref="I26:K26"/>
    <mergeCell ref="L26:L27"/>
    <mergeCell ref="A36:B36"/>
    <mergeCell ref="A37:L37"/>
    <mergeCell ref="C38:D38"/>
    <mergeCell ref="E38:F38"/>
    <mergeCell ref="G38:H38"/>
    <mergeCell ref="I38:K38"/>
    <mergeCell ref="L38:L39"/>
    <mergeCell ref="A45:B45"/>
    <mergeCell ref="A47:L47"/>
    <mergeCell ref="C48:D48"/>
    <mergeCell ref="E48:F48"/>
    <mergeCell ref="G48:H48"/>
    <mergeCell ref="I48:K48"/>
    <mergeCell ref="L48:L49"/>
    <mergeCell ref="A53:B53"/>
    <mergeCell ref="A89:L89"/>
    <mergeCell ref="C90:D90"/>
    <mergeCell ref="E90:F90"/>
    <mergeCell ref="G90:H90"/>
    <mergeCell ref="I90:K90"/>
    <mergeCell ref="L90:L91"/>
    <mergeCell ref="C56:D56"/>
    <mergeCell ref="E56:F56"/>
    <mergeCell ref="G56:H56"/>
    <mergeCell ref="I56:K56"/>
    <mergeCell ref="L56:L57"/>
    <mergeCell ref="G100:G101"/>
    <mergeCell ref="A125:L125"/>
    <mergeCell ref="A97:L97"/>
    <mergeCell ref="C98:D98"/>
    <mergeCell ref="E98:F98"/>
    <mergeCell ref="G98:H98"/>
    <mergeCell ref="I98:K98"/>
    <mergeCell ref="L98:L99"/>
    <mergeCell ref="L126:L127"/>
    <mergeCell ref="A134:L134"/>
    <mergeCell ref="C135:D135"/>
    <mergeCell ref="E135:F135"/>
    <mergeCell ref="G135:H135"/>
    <mergeCell ref="I135:K135"/>
    <mergeCell ref="L135:L136"/>
    <mergeCell ref="C126:D126"/>
    <mergeCell ref="E126:F126"/>
    <mergeCell ref="G126:H126"/>
    <mergeCell ref="I126:K126"/>
    <mergeCell ref="A143:B143"/>
    <mergeCell ref="A145:L145"/>
    <mergeCell ref="C146:D146"/>
    <mergeCell ref="E146:F146"/>
    <mergeCell ref="G146:H146"/>
    <mergeCell ref="I146:K146"/>
    <mergeCell ref="L146:L147"/>
    <mergeCell ref="A168:L168"/>
    <mergeCell ref="A154:L154"/>
    <mergeCell ref="C155:D155"/>
    <mergeCell ref="E155:F155"/>
    <mergeCell ref="G155:H155"/>
    <mergeCell ref="I155:K155"/>
    <mergeCell ref="L155:L156"/>
  </mergeCells>
  <pageMargins left="0.12520000000000001" right="7.5200000000000003E-2" top="0.67708333333333304" bottom="0.34375" header="0.3" footer="0.3"/>
  <pageSetup fitToHeight="0" orientation="landscape" cellComments="asDisplayed" r:id="rId1"/>
  <headerFooter alignWithMargins="0">
    <oddHeader>&amp;C&amp;"Calibri,Regular"&amp;K0000002019 GENERAL FUND BUDGET --DRAFT 11-7-18</oddHeader>
    <oddFooter>&amp;C&amp;"Calibri,Regular"&amp;K000000Page &amp;P of 6</oddFooter>
  </headerFooter>
  <rowBreaks count="4" manualBreakCount="4">
    <brk id="36" max="16383" man="1"/>
    <brk id="88" max="16383" man="1"/>
    <brk id="123" max="16383" man="1"/>
    <brk id="1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19"/>
  <sheetViews>
    <sheetView workbookViewId="0"/>
  </sheetViews>
  <sheetFormatPr defaultRowHeight="15" x14ac:dyDescent="0.25"/>
  <cols>
    <col min="1" max="1" width="3.75" style="310" customWidth="1"/>
    <col min="2" max="2" width="4.25" style="310" customWidth="1"/>
    <col min="3" max="3" width="29" style="310" customWidth="1"/>
    <col min="4" max="4" width="8.125" style="310" customWidth="1"/>
    <col min="5" max="5" width="7.875" style="310" customWidth="1"/>
    <col min="6" max="6" width="7.5" style="328" customWidth="1"/>
    <col min="7" max="7" width="13.75" style="329" customWidth="1"/>
    <col min="8" max="8" width="8.5" style="310" customWidth="1"/>
    <col min="9" max="9" width="8.375" style="310" customWidth="1"/>
    <col min="10" max="10" width="12.75" style="310" customWidth="1"/>
    <col min="11" max="1024" width="8.875" style="310" customWidth="1"/>
  </cols>
  <sheetData>
    <row r="1" spans="1:7" x14ac:dyDescent="0.25">
      <c r="A1" s="304" t="s">
        <v>315</v>
      </c>
      <c r="B1" s="304"/>
      <c r="C1" s="305"/>
      <c r="D1" s="306">
        <v>2015</v>
      </c>
      <c r="E1" s="307">
        <v>2016</v>
      </c>
      <c r="F1" s="308">
        <v>2017</v>
      </c>
      <c r="G1" s="309" t="s">
        <v>316</v>
      </c>
    </row>
    <row r="2" spans="1:7" x14ac:dyDescent="0.25">
      <c r="A2" s="311"/>
      <c r="B2" s="311"/>
      <c r="C2" s="312" t="s">
        <v>317</v>
      </c>
      <c r="D2" s="313">
        <v>183</v>
      </c>
      <c r="E2" s="313">
        <v>0</v>
      </c>
      <c r="F2" s="314">
        <v>4637</v>
      </c>
      <c r="G2" s="315">
        <v>3500</v>
      </c>
    </row>
    <row r="3" spans="1:7" x14ac:dyDescent="0.25">
      <c r="A3" s="311"/>
      <c r="B3" s="311"/>
      <c r="C3" s="312" t="s">
        <v>318</v>
      </c>
      <c r="D3" s="313"/>
      <c r="E3" s="313"/>
      <c r="F3" s="314">
        <v>450</v>
      </c>
      <c r="G3" s="315"/>
    </row>
    <row r="4" spans="1:7" x14ac:dyDescent="0.25">
      <c r="A4" s="311"/>
      <c r="B4" s="311"/>
      <c r="C4" s="312" t="s">
        <v>319</v>
      </c>
      <c r="D4" s="313">
        <v>47</v>
      </c>
      <c r="E4" s="313">
        <v>188</v>
      </c>
      <c r="F4" s="314">
        <v>428</v>
      </c>
      <c r="G4" s="315">
        <v>478</v>
      </c>
    </row>
    <row r="5" spans="1:7" x14ac:dyDescent="0.25">
      <c r="A5" s="311"/>
      <c r="B5" s="311"/>
      <c r="C5" s="312" t="s">
        <v>320</v>
      </c>
      <c r="D5" s="313"/>
      <c r="E5" s="313"/>
      <c r="F5" s="314"/>
      <c r="G5" s="315">
        <v>40</v>
      </c>
    </row>
    <row r="6" spans="1:7" x14ac:dyDescent="0.25">
      <c r="A6" s="311"/>
      <c r="B6" s="311"/>
      <c r="C6" s="312" t="s">
        <v>321</v>
      </c>
      <c r="D6" s="313">
        <v>120</v>
      </c>
      <c r="E6" s="313">
        <v>307</v>
      </c>
      <c r="F6" s="314">
        <v>170</v>
      </c>
      <c r="G6" s="315"/>
    </row>
    <row r="7" spans="1:7" x14ac:dyDescent="0.25">
      <c r="A7" s="311"/>
      <c r="B7" s="311"/>
      <c r="C7" s="312" t="s">
        <v>322</v>
      </c>
      <c r="D7" s="313"/>
      <c r="E7" s="313"/>
      <c r="F7" s="314">
        <v>200</v>
      </c>
      <c r="G7" s="315">
        <v>375</v>
      </c>
    </row>
    <row r="8" spans="1:7" x14ac:dyDescent="0.25">
      <c r="A8" s="311"/>
      <c r="B8" s="311"/>
      <c r="C8" s="312" t="s">
        <v>323</v>
      </c>
      <c r="D8" s="313">
        <v>78</v>
      </c>
      <c r="E8" s="313">
        <v>116</v>
      </c>
      <c r="F8" s="314">
        <v>41</v>
      </c>
      <c r="G8" s="315">
        <v>7</v>
      </c>
    </row>
    <row r="9" spans="1:7" x14ac:dyDescent="0.25">
      <c r="A9" s="311"/>
      <c r="B9" s="311"/>
      <c r="C9" s="312" t="s">
        <v>324</v>
      </c>
      <c r="D9" s="313">
        <v>22</v>
      </c>
      <c r="E9" s="313">
        <v>40</v>
      </c>
      <c r="F9" s="314">
        <v>10</v>
      </c>
      <c r="G9" s="315">
        <v>110</v>
      </c>
    </row>
    <row r="10" spans="1:7" hidden="1" x14ac:dyDescent="0.25">
      <c r="A10" s="311"/>
      <c r="B10" s="311"/>
      <c r="C10" s="312" t="s">
        <v>325</v>
      </c>
      <c r="D10" s="313"/>
      <c r="E10" s="313"/>
      <c r="F10" s="314">
        <v>1240</v>
      </c>
      <c r="G10" s="315"/>
    </row>
    <row r="11" spans="1:7" hidden="1" x14ac:dyDescent="0.25">
      <c r="A11" s="311"/>
      <c r="B11" s="311"/>
      <c r="C11" s="312" t="s">
        <v>326</v>
      </c>
      <c r="D11" s="313"/>
      <c r="E11" s="313"/>
      <c r="F11" s="314">
        <v>75</v>
      </c>
      <c r="G11" s="315"/>
    </row>
    <row r="12" spans="1:7" hidden="1" x14ac:dyDescent="0.25">
      <c r="A12" s="311"/>
      <c r="B12" s="311"/>
      <c r="C12" s="312" t="s">
        <v>327</v>
      </c>
      <c r="D12" s="313"/>
      <c r="E12" s="313"/>
      <c r="F12" s="314">
        <v>123</v>
      </c>
      <c r="G12" s="315"/>
    </row>
    <row r="13" spans="1:7" hidden="1" x14ac:dyDescent="0.25">
      <c r="A13" s="311"/>
      <c r="B13" s="311"/>
      <c r="C13" s="312" t="s">
        <v>328</v>
      </c>
      <c r="D13" s="313">
        <v>367</v>
      </c>
      <c r="E13" s="313">
        <v>396</v>
      </c>
      <c r="F13" s="314"/>
      <c r="G13" s="315"/>
    </row>
    <row r="14" spans="1:7" x14ac:dyDescent="0.25">
      <c r="A14" s="311"/>
      <c r="B14" s="311"/>
      <c r="C14" s="312" t="s">
        <v>329</v>
      </c>
      <c r="D14" s="313">
        <v>3</v>
      </c>
      <c r="E14" s="313">
        <v>22</v>
      </c>
      <c r="F14" s="314">
        <v>10</v>
      </c>
      <c r="G14" s="315">
        <v>26</v>
      </c>
    </row>
    <row r="15" spans="1:7" x14ac:dyDescent="0.25">
      <c r="A15" s="311"/>
      <c r="B15" s="311"/>
      <c r="C15" s="312" t="s">
        <v>330</v>
      </c>
      <c r="D15" s="313">
        <v>0</v>
      </c>
      <c r="E15" s="313">
        <v>106</v>
      </c>
      <c r="F15" s="314">
        <f>189+150</f>
        <v>339</v>
      </c>
      <c r="G15" s="315">
        <f>3+20+981</f>
        <v>1004</v>
      </c>
    </row>
    <row r="16" spans="1:7" hidden="1" x14ac:dyDescent="0.25">
      <c r="A16" s="311"/>
      <c r="B16" s="311"/>
      <c r="C16" s="312" t="s">
        <v>331</v>
      </c>
      <c r="D16" s="313">
        <v>938</v>
      </c>
      <c r="E16" s="316">
        <v>1558</v>
      </c>
      <c r="F16" s="317"/>
      <c r="G16" s="315"/>
    </row>
    <row r="17" spans="1:7" hidden="1" x14ac:dyDescent="0.25">
      <c r="A17" s="311"/>
      <c r="B17" s="311"/>
      <c r="C17" s="312" t="s">
        <v>332</v>
      </c>
      <c r="D17" s="313">
        <v>0</v>
      </c>
      <c r="E17" s="313">
        <v>4300</v>
      </c>
      <c r="F17" s="317"/>
      <c r="G17" s="315"/>
    </row>
    <row r="18" spans="1:7" hidden="1" x14ac:dyDescent="0.25">
      <c r="A18" s="311"/>
      <c r="B18" s="311"/>
      <c r="C18" s="312" t="s">
        <v>333</v>
      </c>
      <c r="D18" s="313"/>
      <c r="E18" s="313">
        <v>750</v>
      </c>
      <c r="F18" s="317"/>
      <c r="G18" s="315"/>
    </row>
    <row r="19" spans="1:7" hidden="1" x14ac:dyDescent="0.25">
      <c r="A19" s="311"/>
      <c r="B19" s="311"/>
      <c r="C19" s="312" t="s">
        <v>334</v>
      </c>
      <c r="D19" s="313"/>
      <c r="E19" s="313">
        <v>9555</v>
      </c>
      <c r="F19" s="317"/>
      <c r="G19" s="315"/>
    </row>
    <row r="20" spans="1:7" x14ac:dyDescent="0.25">
      <c r="A20" s="311"/>
      <c r="B20" s="311"/>
      <c r="C20" s="312" t="s">
        <v>335</v>
      </c>
      <c r="D20" s="313"/>
      <c r="E20" s="313"/>
      <c r="F20" s="317"/>
      <c r="G20" s="315">
        <v>13010</v>
      </c>
    </row>
    <row r="21" spans="1:7" hidden="1" x14ac:dyDescent="0.25">
      <c r="A21" s="311"/>
      <c r="B21" s="311"/>
      <c r="C21" s="312" t="s">
        <v>336</v>
      </c>
      <c r="D21" s="313"/>
      <c r="E21" s="313"/>
      <c r="F21" s="317">
        <v>640</v>
      </c>
      <c r="G21" s="315"/>
    </row>
    <row r="22" spans="1:7" hidden="1" x14ac:dyDescent="0.25">
      <c r="A22" s="311"/>
      <c r="B22" s="311"/>
      <c r="C22" s="312" t="s">
        <v>337</v>
      </c>
      <c r="D22" s="313"/>
      <c r="E22" s="313">
        <v>514</v>
      </c>
      <c r="F22" s="317"/>
      <c r="G22" s="315"/>
    </row>
    <row r="23" spans="1:7" hidden="1" x14ac:dyDescent="0.25">
      <c r="A23" s="311"/>
      <c r="B23" s="311"/>
      <c r="C23" s="312" t="s">
        <v>338</v>
      </c>
      <c r="D23" s="313"/>
      <c r="E23" s="313">
        <v>172</v>
      </c>
      <c r="F23" s="317"/>
      <c r="G23" s="315"/>
    </row>
    <row r="24" spans="1:7" x14ac:dyDescent="0.25">
      <c r="A24" s="318"/>
      <c r="B24" s="318"/>
      <c r="C24" s="319" t="s">
        <v>339</v>
      </c>
      <c r="D24" s="320">
        <f>SUM(D2:D23)</f>
        <v>1758</v>
      </c>
      <c r="E24" s="320">
        <f>SUM(E2:E23)</f>
        <v>18024</v>
      </c>
      <c r="F24" s="321">
        <f>SUM(F2:F23)</f>
        <v>8363</v>
      </c>
      <c r="G24" s="322">
        <f>SUM(G2:G23)</f>
        <v>18550</v>
      </c>
    </row>
    <row r="25" spans="1:7" x14ac:dyDescent="0.25">
      <c r="A25" s="318"/>
      <c r="B25" s="318"/>
      <c r="C25" s="323"/>
      <c r="D25" s="324"/>
      <c r="E25" s="324"/>
      <c r="F25" s="325"/>
      <c r="G25" s="325"/>
    </row>
    <row r="26" spans="1:7" x14ac:dyDescent="0.25">
      <c r="A26" s="305" t="s">
        <v>340</v>
      </c>
      <c r="B26" s="305"/>
      <c r="C26" s="305"/>
      <c r="D26" s="326"/>
      <c r="E26" s="327"/>
    </row>
    <row r="27" spans="1:7" x14ac:dyDescent="0.25">
      <c r="A27" s="326"/>
      <c r="C27" s="330">
        <v>2018</v>
      </c>
      <c r="D27" s="331">
        <f>SUM(D28:D30)</f>
        <v>199358</v>
      </c>
      <c r="E27" s="327"/>
    </row>
    <row r="28" spans="1:7" x14ac:dyDescent="0.25">
      <c r="A28" s="326"/>
      <c r="B28" s="332"/>
      <c r="C28" s="333" t="s">
        <v>341</v>
      </c>
      <c r="D28" s="334">
        <v>47460</v>
      </c>
      <c r="E28" s="327"/>
    </row>
    <row r="29" spans="1:7" x14ac:dyDescent="0.25">
      <c r="A29" s="326"/>
      <c r="B29" s="332"/>
      <c r="C29" s="335" t="s">
        <v>342</v>
      </c>
      <c r="D29" s="334">
        <v>130000</v>
      </c>
      <c r="E29" s="327"/>
    </row>
    <row r="30" spans="1:7" x14ac:dyDescent="0.25">
      <c r="A30" s="326"/>
      <c r="B30" s="332"/>
      <c r="C30" s="336" t="s">
        <v>343</v>
      </c>
      <c r="D30" s="337">
        <v>21898</v>
      </c>
      <c r="E30" s="327"/>
    </row>
    <row r="32" spans="1:7" ht="26.25" customHeight="1" x14ac:dyDescent="0.25">
      <c r="A32" s="338" t="s">
        <v>344</v>
      </c>
      <c r="B32" s="338"/>
      <c r="C32" s="339"/>
      <c r="D32" s="340">
        <v>2015</v>
      </c>
      <c r="E32" s="341">
        <v>2016</v>
      </c>
      <c r="F32" s="342">
        <v>2017</v>
      </c>
      <c r="G32" s="341" t="s">
        <v>316</v>
      </c>
    </row>
    <row r="33" spans="1:7" x14ac:dyDescent="0.25">
      <c r="A33" s="343"/>
      <c r="B33" s="343"/>
      <c r="C33" s="344" t="s">
        <v>345</v>
      </c>
      <c r="D33" s="345">
        <v>1145</v>
      </c>
      <c r="E33" s="345">
        <v>193</v>
      </c>
      <c r="F33" s="346">
        <f>50+25+549+50+477+65+30+28</f>
        <v>1274</v>
      </c>
      <c r="G33" s="346">
        <f>90+85+460+21+460+120+60+944</f>
        <v>2240</v>
      </c>
    </row>
    <row r="34" spans="1:7" x14ac:dyDescent="0.25">
      <c r="A34" s="343"/>
      <c r="B34" s="343"/>
      <c r="C34" s="347" t="s">
        <v>346</v>
      </c>
      <c r="D34" s="345"/>
      <c r="E34" s="348"/>
      <c r="F34" s="349"/>
      <c r="G34" s="350"/>
    </row>
    <row r="35" spans="1:7" x14ac:dyDescent="0.25">
      <c r="A35" s="343"/>
      <c r="B35" s="343"/>
      <c r="C35" s="344" t="s">
        <v>347</v>
      </c>
      <c r="D35" s="345">
        <v>448</v>
      </c>
      <c r="E35" s="345">
        <v>420</v>
      </c>
      <c r="F35" s="351">
        <f>185+7+42+371+35</f>
        <v>640</v>
      </c>
      <c r="G35" s="352">
        <f>35+7+21+21+392</f>
        <v>476</v>
      </c>
    </row>
    <row r="36" spans="1:7" x14ac:dyDescent="0.25">
      <c r="A36" s="343"/>
      <c r="B36" s="343"/>
      <c r="C36" s="344" t="s">
        <v>348</v>
      </c>
      <c r="D36" s="345">
        <v>235</v>
      </c>
      <c r="E36" s="345">
        <v>200</v>
      </c>
      <c r="F36" s="345">
        <v>921</v>
      </c>
      <c r="G36" s="345">
        <f>10+12+105+81+225+24+28+101+24+54+34+36+48</f>
        <v>782</v>
      </c>
    </row>
    <row r="37" spans="1:7" x14ac:dyDescent="0.25">
      <c r="A37" s="343"/>
      <c r="B37" s="343"/>
      <c r="C37" s="344" t="s">
        <v>349</v>
      </c>
      <c r="D37" s="345">
        <v>28</v>
      </c>
      <c r="E37" s="345">
        <v>30</v>
      </c>
      <c r="F37" s="345">
        <f>47+20</f>
        <v>67</v>
      </c>
      <c r="G37" s="345">
        <v>28</v>
      </c>
    </row>
    <row r="38" spans="1:7" x14ac:dyDescent="0.25">
      <c r="A38" s="343"/>
      <c r="B38" s="343"/>
      <c r="C38" s="344" t="s">
        <v>350</v>
      </c>
      <c r="D38" s="345">
        <v>982</v>
      </c>
      <c r="E38" s="345">
        <v>1746</v>
      </c>
      <c r="F38" s="345">
        <f>648+588+225+225</f>
        <v>1686</v>
      </c>
      <c r="G38" s="345">
        <v>519</v>
      </c>
    </row>
    <row r="39" spans="1:7" x14ac:dyDescent="0.25">
      <c r="A39" s="343"/>
      <c r="B39" s="343"/>
      <c r="C39" s="344" t="s">
        <v>351</v>
      </c>
      <c r="D39" s="345">
        <v>171</v>
      </c>
      <c r="E39" s="345">
        <v>313</v>
      </c>
      <c r="F39" s="345">
        <f>113+173+195+123+207</f>
        <v>811</v>
      </c>
      <c r="G39" s="345">
        <f>232+65+7+7+105+357+10</f>
        <v>783</v>
      </c>
    </row>
    <row r="40" spans="1:7" x14ac:dyDescent="0.25">
      <c r="A40" s="343"/>
      <c r="B40" s="343"/>
      <c r="C40" s="344" t="s">
        <v>352</v>
      </c>
      <c r="D40" s="345">
        <v>1410</v>
      </c>
      <c r="E40" s="345">
        <v>1782</v>
      </c>
      <c r="F40" s="345">
        <v>2666</v>
      </c>
      <c r="G40" s="345">
        <f>209+244+407+34+176+14+24+12+35+10+52+12+25+62+20+80+36</f>
        <v>1452</v>
      </c>
    </row>
    <row r="41" spans="1:7" x14ac:dyDescent="0.25">
      <c r="A41" s="343"/>
      <c r="B41" s="343"/>
      <c r="C41" s="344" t="s">
        <v>353</v>
      </c>
      <c r="D41" s="345">
        <v>220</v>
      </c>
      <c r="E41" s="345">
        <v>0</v>
      </c>
      <c r="F41" s="345">
        <v>200</v>
      </c>
      <c r="G41" s="345">
        <f>30+20+18</f>
        <v>68</v>
      </c>
    </row>
    <row r="42" spans="1:7" x14ac:dyDescent="0.25">
      <c r="A42" s="343"/>
      <c r="B42" s="343"/>
      <c r="C42" s="344" t="s">
        <v>354</v>
      </c>
      <c r="D42" s="345">
        <v>1803</v>
      </c>
      <c r="E42" s="345">
        <v>2365</v>
      </c>
      <c r="F42" s="345">
        <v>2417</v>
      </c>
      <c r="G42" s="345">
        <f>334+399+334+399+5+18</f>
        <v>1489</v>
      </c>
    </row>
    <row r="43" spans="1:7" x14ac:dyDescent="0.25">
      <c r="A43" s="343"/>
      <c r="B43" s="343"/>
      <c r="C43" s="344" t="s">
        <v>355</v>
      </c>
      <c r="D43" s="345">
        <v>295</v>
      </c>
      <c r="E43" s="345">
        <v>295</v>
      </c>
      <c r="F43" s="345">
        <v>295</v>
      </c>
      <c r="G43" s="345">
        <v>640</v>
      </c>
    </row>
    <row r="44" spans="1:7" x14ac:dyDescent="0.25">
      <c r="A44" s="343"/>
      <c r="B44" s="343"/>
      <c r="C44" s="344" t="s">
        <v>356</v>
      </c>
      <c r="D44" s="345">
        <v>55</v>
      </c>
      <c r="E44" s="345">
        <v>112</v>
      </c>
      <c r="F44" s="345">
        <f>1+21+25+10+86+62</f>
        <v>205</v>
      </c>
      <c r="G44" s="345">
        <f>10+20+28+50+95+65</f>
        <v>268</v>
      </c>
    </row>
    <row r="45" spans="1:7" hidden="1" x14ac:dyDescent="0.25">
      <c r="A45" s="343"/>
      <c r="B45" s="343"/>
      <c r="C45" s="344" t="s">
        <v>357</v>
      </c>
      <c r="D45" s="345"/>
      <c r="E45" s="345">
        <v>172</v>
      </c>
      <c r="F45" s="345"/>
      <c r="G45" s="345"/>
    </row>
    <row r="46" spans="1:7" hidden="1" x14ac:dyDescent="0.25">
      <c r="A46" s="343"/>
      <c r="B46" s="343"/>
      <c r="C46" s="344" t="s">
        <v>358</v>
      </c>
      <c r="D46" s="345"/>
      <c r="E46" s="345">
        <v>50</v>
      </c>
      <c r="F46" s="345"/>
      <c r="G46" s="345"/>
    </row>
    <row r="47" spans="1:7" hidden="1" x14ac:dyDescent="0.25">
      <c r="A47" s="343"/>
      <c r="B47" s="343"/>
      <c r="C47" s="344" t="s">
        <v>359</v>
      </c>
      <c r="D47" s="345"/>
      <c r="E47" s="345">
        <v>44</v>
      </c>
      <c r="F47" s="345"/>
      <c r="G47" s="345"/>
    </row>
    <row r="48" spans="1:7" x14ac:dyDescent="0.25">
      <c r="A48" s="343"/>
      <c r="B48" s="343"/>
      <c r="C48" s="344" t="s">
        <v>360</v>
      </c>
      <c r="D48" s="345"/>
      <c r="E48" s="345">
        <v>811</v>
      </c>
      <c r="F48" s="345">
        <v>80</v>
      </c>
      <c r="G48" s="345">
        <f>427+134</f>
        <v>561</v>
      </c>
    </row>
    <row r="49" spans="1:8" hidden="1" x14ac:dyDescent="0.25">
      <c r="A49" s="353"/>
      <c r="B49" s="353"/>
      <c r="C49" s="344" t="s">
        <v>361</v>
      </c>
      <c r="D49" s="345"/>
      <c r="E49" s="345">
        <v>187</v>
      </c>
      <c r="F49" s="345">
        <v>37</v>
      </c>
      <c r="G49" s="345"/>
    </row>
    <row r="50" spans="1:8" hidden="1" x14ac:dyDescent="0.25">
      <c r="A50" s="353"/>
      <c r="B50" s="353"/>
      <c r="C50" s="344" t="s">
        <v>362</v>
      </c>
      <c r="D50" s="345"/>
      <c r="E50" s="345"/>
      <c r="F50" s="345">
        <f>12+86</f>
        <v>98</v>
      </c>
      <c r="G50" s="345"/>
    </row>
    <row r="51" spans="1:8" x14ac:dyDescent="0.25">
      <c r="A51" s="353"/>
      <c r="B51" s="353"/>
      <c r="C51" s="319" t="s">
        <v>339</v>
      </c>
      <c r="D51" s="354">
        <f>SUM(D33:D50)</f>
        <v>6792</v>
      </c>
      <c r="E51" s="354">
        <f>SUM(E33:E50)</f>
        <v>8720</v>
      </c>
      <c r="F51" s="354">
        <f>SUM(F33:F50)</f>
        <v>11397</v>
      </c>
      <c r="G51" s="354">
        <f>SUM(G33:G50)</f>
        <v>9306</v>
      </c>
    </row>
    <row r="52" spans="1:8" x14ac:dyDescent="0.25">
      <c r="A52" s="355"/>
      <c r="B52" s="355"/>
      <c r="C52" s="356"/>
      <c r="D52" s="357"/>
      <c r="E52" s="357"/>
      <c r="F52" s="357"/>
      <c r="G52" s="357"/>
    </row>
    <row r="53" spans="1:8" x14ac:dyDescent="0.25">
      <c r="A53" s="338" t="s">
        <v>363</v>
      </c>
      <c r="B53" s="338"/>
      <c r="C53" s="358"/>
      <c r="D53" s="340">
        <v>2015</v>
      </c>
      <c r="E53" s="341">
        <v>2016</v>
      </c>
      <c r="F53" s="342">
        <v>2017</v>
      </c>
      <c r="G53" s="341" t="s">
        <v>316</v>
      </c>
      <c r="H53" s="359"/>
    </row>
    <row r="54" spans="1:8" x14ac:dyDescent="0.25">
      <c r="A54" s="338"/>
      <c r="B54" s="338"/>
      <c r="C54" s="344" t="s">
        <v>364</v>
      </c>
      <c r="D54" s="360">
        <v>2167</v>
      </c>
      <c r="E54" s="360">
        <v>2163</v>
      </c>
      <c r="F54" s="360">
        <v>3237</v>
      </c>
      <c r="G54" s="360">
        <f>313+251+321+251+285+324+264</f>
        <v>2009</v>
      </c>
    </row>
    <row r="55" spans="1:8" x14ac:dyDescent="0.25">
      <c r="A55" s="338"/>
      <c r="B55" s="338"/>
      <c r="C55" s="344" t="s">
        <v>365</v>
      </c>
      <c r="D55" s="360">
        <v>54</v>
      </c>
      <c r="E55" s="360">
        <v>124</v>
      </c>
      <c r="F55" s="360">
        <v>715</v>
      </c>
      <c r="G55" s="360">
        <f>56+54</f>
        <v>110</v>
      </c>
    </row>
    <row r="56" spans="1:8" x14ac:dyDescent="0.25">
      <c r="A56" s="338"/>
      <c r="B56" s="338"/>
      <c r="C56" s="344" t="s">
        <v>366</v>
      </c>
      <c r="D56" s="360">
        <v>2606</v>
      </c>
      <c r="E56" s="360">
        <v>2638</v>
      </c>
      <c r="F56" s="360">
        <v>2670</v>
      </c>
      <c r="G56" s="360">
        <v>1288</v>
      </c>
    </row>
    <row r="57" spans="1:8" x14ac:dyDescent="0.25">
      <c r="A57" s="338"/>
      <c r="B57" s="338"/>
      <c r="C57" s="344" t="s">
        <v>367</v>
      </c>
      <c r="D57" s="360">
        <v>2043</v>
      </c>
      <c r="E57" s="360">
        <v>2560</v>
      </c>
      <c r="F57" s="360">
        <v>3212</v>
      </c>
      <c r="G57" s="360">
        <f>184+48+48+184+184+184+48+48+184+48+184+48+48+184+184+48</f>
        <v>1856</v>
      </c>
    </row>
    <row r="58" spans="1:8" x14ac:dyDescent="0.25">
      <c r="A58" s="338"/>
      <c r="B58" s="338"/>
      <c r="C58" s="344" t="s">
        <v>368</v>
      </c>
      <c r="D58" s="360">
        <v>100</v>
      </c>
      <c r="E58" s="360">
        <v>100</v>
      </c>
      <c r="F58" s="360">
        <v>100</v>
      </c>
      <c r="G58" s="360"/>
    </row>
    <row r="59" spans="1:8" x14ac:dyDescent="0.25">
      <c r="A59" s="338"/>
      <c r="B59" s="338"/>
      <c r="C59" s="319" t="s">
        <v>339</v>
      </c>
      <c r="D59" s="361">
        <f>SUM(D54:D58)</f>
        <v>6970</v>
      </c>
      <c r="E59" s="361">
        <f>SUM(E54:E58)</f>
        <v>7585</v>
      </c>
      <c r="F59" s="361">
        <f>SUM(F54:F58)</f>
        <v>9934</v>
      </c>
      <c r="G59" s="361">
        <f>SUM(G54:G58)</f>
        <v>5263</v>
      </c>
    </row>
    <row r="61" spans="1:8" x14ac:dyDescent="0.25">
      <c r="A61" s="338" t="s">
        <v>369</v>
      </c>
      <c r="B61" s="338"/>
      <c r="C61" s="358"/>
      <c r="D61" s="340">
        <v>2015</v>
      </c>
      <c r="E61" s="341">
        <v>2016</v>
      </c>
      <c r="F61" s="342">
        <v>2017</v>
      </c>
      <c r="G61" s="341" t="s">
        <v>316</v>
      </c>
      <c r="H61" s="359"/>
    </row>
    <row r="62" spans="1:8" x14ac:dyDescent="0.25">
      <c r="A62" s="353"/>
      <c r="B62" s="353"/>
      <c r="C62" s="344" t="s">
        <v>370</v>
      </c>
      <c r="D62" s="360"/>
      <c r="E62" s="360">
        <v>1200</v>
      </c>
      <c r="F62" s="362">
        <v>1300</v>
      </c>
      <c r="G62" s="360">
        <v>800</v>
      </c>
    </row>
    <row r="63" spans="1:8" x14ac:dyDescent="0.25">
      <c r="A63" s="353"/>
      <c r="B63" s="353"/>
      <c r="C63" s="344" t="s">
        <v>371</v>
      </c>
      <c r="D63" s="360"/>
      <c r="E63" s="360"/>
      <c r="F63" s="362">
        <v>46</v>
      </c>
      <c r="G63" s="360">
        <v>91</v>
      </c>
    </row>
    <row r="64" spans="1:8" x14ac:dyDescent="0.25">
      <c r="A64" s="353"/>
      <c r="B64" s="353"/>
      <c r="C64" s="344" t="s">
        <v>372</v>
      </c>
      <c r="D64" s="360"/>
      <c r="E64" s="360"/>
      <c r="F64" s="362">
        <v>537</v>
      </c>
      <c r="G64" s="360">
        <v>122</v>
      </c>
    </row>
    <row r="65" spans="1:7" x14ac:dyDescent="0.25">
      <c r="A65" s="353"/>
      <c r="B65" s="353"/>
      <c r="C65" s="344" t="s">
        <v>373</v>
      </c>
      <c r="D65" s="360"/>
      <c r="E65" s="360">
        <v>150</v>
      </c>
      <c r="F65" s="362">
        <v>75</v>
      </c>
      <c r="G65" s="360">
        <v>150</v>
      </c>
    </row>
    <row r="66" spans="1:7" x14ac:dyDescent="0.25">
      <c r="A66" s="353"/>
      <c r="B66" s="353"/>
      <c r="C66" s="344" t="s">
        <v>374</v>
      </c>
      <c r="D66" s="360"/>
      <c r="E66" s="360">
        <v>160</v>
      </c>
      <c r="F66" s="362"/>
      <c r="G66" s="360">
        <v>159</v>
      </c>
    </row>
    <row r="67" spans="1:7" hidden="1" x14ac:dyDescent="0.25">
      <c r="A67" s="353"/>
      <c r="B67" s="353"/>
      <c r="C67" s="344" t="s">
        <v>375</v>
      </c>
      <c r="D67" s="360"/>
      <c r="E67" s="360">
        <v>2183</v>
      </c>
      <c r="F67" s="362">
        <v>1372</v>
      </c>
      <c r="G67" s="360"/>
    </row>
    <row r="68" spans="1:7" hidden="1" x14ac:dyDescent="0.25">
      <c r="A68" s="353"/>
      <c r="B68" s="353"/>
      <c r="C68" s="344" t="s">
        <v>376</v>
      </c>
      <c r="D68" s="360"/>
      <c r="E68" s="360">
        <v>65</v>
      </c>
      <c r="F68" s="362"/>
      <c r="G68" s="360"/>
    </row>
    <row r="69" spans="1:7" x14ac:dyDescent="0.25">
      <c r="A69" s="353"/>
      <c r="B69" s="353"/>
      <c r="C69" s="344" t="s">
        <v>377</v>
      </c>
      <c r="D69" s="360"/>
      <c r="E69" s="360"/>
      <c r="F69" s="362"/>
      <c r="G69" s="360">
        <v>50</v>
      </c>
    </row>
    <row r="70" spans="1:7" x14ac:dyDescent="0.25">
      <c r="A70" s="353"/>
      <c r="B70" s="353"/>
      <c r="C70" s="344" t="s">
        <v>378</v>
      </c>
      <c r="D70" s="360"/>
      <c r="E70" s="360"/>
      <c r="F70" s="362"/>
      <c r="G70" s="360">
        <v>160</v>
      </c>
    </row>
    <row r="71" spans="1:7" x14ac:dyDescent="0.25">
      <c r="A71" s="353"/>
      <c r="B71" s="353"/>
      <c r="C71" s="344" t="s">
        <v>379</v>
      </c>
      <c r="D71" s="360"/>
      <c r="E71" s="360"/>
      <c r="F71" s="362">
        <v>446</v>
      </c>
      <c r="G71" s="360">
        <v>100</v>
      </c>
    </row>
    <row r="72" spans="1:7" x14ac:dyDescent="0.25">
      <c r="A72" s="353"/>
      <c r="B72" s="353"/>
      <c r="C72" s="344" t="s">
        <v>380</v>
      </c>
      <c r="D72" s="360"/>
      <c r="E72" s="360"/>
      <c r="F72" s="362"/>
      <c r="G72" s="360">
        <v>150</v>
      </c>
    </row>
    <row r="73" spans="1:7" hidden="1" x14ac:dyDescent="0.25">
      <c r="A73" s="353"/>
      <c r="B73" s="353"/>
      <c r="C73" s="344" t="s">
        <v>381</v>
      </c>
      <c r="D73" s="360"/>
      <c r="E73" s="360"/>
      <c r="F73" s="362">
        <v>88</v>
      </c>
      <c r="G73" s="360"/>
    </row>
    <row r="74" spans="1:7" x14ac:dyDescent="0.25">
      <c r="A74" s="353"/>
      <c r="B74" s="353"/>
      <c r="C74" s="344" t="s">
        <v>382</v>
      </c>
      <c r="D74" s="360"/>
      <c r="E74" s="360">
        <v>310</v>
      </c>
      <c r="F74" s="360">
        <f>5+40+36+21+61+17+8+31</f>
        <v>219</v>
      </c>
      <c r="G74" s="360">
        <f>47+12+45+9+90</f>
        <v>203</v>
      </c>
    </row>
    <row r="75" spans="1:7" x14ac:dyDescent="0.25">
      <c r="A75" s="353"/>
      <c r="B75" s="353"/>
      <c r="C75" s="319" t="s">
        <v>339</v>
      </c>
      <c r="D75" s="360"/>
      <c r="E75" s="361">
        <f>SUM(E62:E74)</f>
        <v>4068</v>
      </c>
      <c r="F75" s="361">
        <f>SUM(F62:F74)</f>
        <v>4083</v>
      </c>
      <c r="G75" s="361">
        <f>SUM(G62:G74)</f>
        <v>1985</v>
      </c>
    </row>
    <row r="76" spans="1:7" x14ac:dyDescent="0.25">
      <c r="A76" s="355"/>
      <c r="B76" s="355"/>
      <c r="C76" s="355"/>
      <c r="D76" s="363"/>
      <c r="E76" s="364"/>
      <c r="F76" s="364"/>
      <c r="G76" s="359"/>
    </row>
    <row r="77" spans="1:7" x14ac:dyDescent="0.25">
      <c r="A77" s="338" t="s">
        <v>383</v>
      </c>
      <c r="B77" s="338"/>
      <c r="C77" s="339"/>
      <c r="D77" s="340">
        <v>2015</v>
      </c>
      <c r="E77" s="341">
        <v>2016</v>
      </c>
      <c r="F77" s="342">
        <v>2017</v>
      </c>
      <c r="G77" s="309" t="s">
        <v>316</v>
      </c>
    </row>
    <row r="78" spans="1:7" x14ac:dyDescent="0.25">
      <c r="A78" s="343"/>
      <c r="B78" s="343"/>
      <c r="C78" s="365" t="s">
        <v>384</v>
      </c>
      <c r="D78" s="366">
        <v>19768.63</v>
      </c>
      <c r="E78" s="366">
        <v>21593.66</v>
      </c>
      <c r="F78" s="367">
        <v>27716</v>
      </c>
      <c r="G78" s="315">
        <f>7+108+86+33+40+70+125+544+54+468+206+73+7+363+80+190+668+209+1512+159+681+680+2795+56+167</f>
        <v>9381</v>
      </c>
    </row>
    <row r="79" spans="1:7" x14ac:dyDescent="0.25">
      <c r="A79" s="338"/>
      <c r="B79" s="338"/>
      <c r="C79" s="365" t="s">
        <v>385</v>
      </c>
      <c r="D79" s="366">
        <v>10166.790000000001</v>
      </c>
      <c r="E79" s="366">
        <v>1683.65</v>
      </c>
      <c r="F79" s="367">
        <v>6180</v>
      </c>
      <c r="G79" s="315">
        <v>140</v>
      </c>
    </row>
    <row r="80" spans="1:7" x14ac:dyDescent="0.25">
      <c r="A80" s="343"/>
      <c r="B80" s="343"/>
      <c r="C80" s="365" t="s">
        <v>386</v>
      </c>
      <c r="D80" s="366">
        <v>9689.2800000000007</v>
      </c>
      <c r="E80" s="366">
        <v>3008.05</v>
      </c>
      <c r="F80" s="367">
        <v>2388</v>
      </c>
      <c r="G80" s="315">
        <f>270+226+71+70+188+154+248+746</f>
        <v>1973</v>
      </c>
    </row>
    <row r="81" spans="1:7" x14ac:dyDescent="0.25">
      <c r="A81" s="343"/>
      <c r="B81" s="343"/>
      <c r="C81" s="365" t="s">
        <v>387</v>
      </c>
      <c r="D81" s="366">
        <v>2579.6</v>
      </c>
      <c r="E81" s="366">
        <v>542.03</v>
      </c>
      <c r="F81" s="367">
        <v>973</v>
      </c>
      <c r="G81" s="315">
        <f>98+115</f>
        <v>213</v>
      </c>
    </row>
    <row r="82" spans="1:7" hidden="1" x14ac:dyDescent="0.25">
      <c r="A82" s="343"/>
      <c r="B82" s="343"/>
      <c r="C82" s="365" t="s">
        <v>388</v>
      </c>
      <c r="D82" s="366"/>
      <c r="E82" s="366"/>
      <c r="F82" s="367">
        <f>570+663+3328+3000</f>
        <v>7561</v>
      </c>
      <c r="G82" s="315"/>
    </row>
    <row r="83" spans="1:7" hidden="1" x14ac:dyDescent="0.25">
      <c r="A83" s="343"/>
      <c r="B83" s="343"/>
      <c r="C83" s="365" t="s">
        <v>382</v>
      </c>
      <c r="D83" s="366">
        <v>786.96</v>
      </c>
      <c r="E83" s="366">
        <v>510.2</v>
      </c>
      <c r="F83" s="367">
        <f>26+91+41</f>
        <v>158</v>
      </c>
      <c r="G83" s="315"/>
    </row>
    <row r="84" spans="1:7" x14ac:dyDescent="0.25">
      <c r="A84" s="343"/>
      <c r="B84" s="343"/>
      <c r="C84" s="365" t="s">
        <v>389</v>
      </c>
      <c r="D84" s="366">
        <v>225</v>
      </c>
      <c r="E84" s="366">
        <v>0</v>
      </c>
      <c r="F84" s="367">
        <v>2560</v>
      </c>
      <c r="G84" s="315">
        <f>2400+1607</f>
        <v>4007</v>
      </c>
    </row>
    <row r="85" spans="1:7" hidden="1" x14ac:dyDescent="0.25">
      <c r="A85" s="343"/>
      <c r="B85" s="343"/>
      <c r="C85" s="365" t="s">
        <v>390</v>
      </c>
      <c r="D85" s="366">
        <v>230.88</v>
      </c>
      <c r="E85" s="366">
        <v>226.7</v>
      </c>
      <c r="F85" s="367">
        <f>45+6+79+41+112</f>
        <v>283</v>
      </c>
      <c r="G85" s="315"/>
    </row>
    <row r="86" spans="1:7" hidden="1" x14ac:dyDescent="0.25">
      <c r="A86" s="343"/>
      <c r="B86" s="343"/>
      <c r="C86" s="365" t="s">
        <v>391</v>
      </c>
      <c r="D86" s="366">
        <v>60</v>
      </c>
      <c r="E86" s="366">
        <v>30</v>
      </c>
      <c r="F86" s="367">
        <v>30</v>
      </c>
      <c r="G86" s="315"/>
    </row>
    <row r="87" spans="1:7" x14ac:dyDescent="0.25">
      <c r="A87" s="343"/>
      <c r="B87" s="343"/>
      <c r="C87" s="365" t="s">
        <v>392</v>
      </c>
      <c r="D87" s="366">
        <v>294.89999999999998</v>
      </c>
      <c r="E87" s="366">
        <v>294.89999999999998</v>
      </c>
      <c r="F87" s="367">
        <v>295</v>
      </c>
      <c r="G87" s="315">
        <v>295</v>
      </c>
    </row>
    <row r="88" spans="1:7" x14ac:dyDescent="0.25">
      <c r="A88" s="343"/>
      <c r="B88" s="343"/>
      <c r="C88" s="365" t="s">
        <v>393</v>
      </c>
      <c r="D88" s="366">
        <v>530</v>
      </c>
      <c r="E88" s="366">
        <v>0</v>
      </c>
      <c r="F88" s="367"/>
      <c r="G88" s="315">
        <v>64</v>
      </c>
    </row>
    <row r="89" spans="1:7" hidden="1" x14ac:dyDescent="0.25">
      <c r="A89" s="343"/>
      <c r="B89" s="343"/>
      <c r="C89" s="365" t="s">
        <v>394</v>
      </c>
      <c r="D89" s="366">
        <v>1728.11</v>
      </c>
      <c r="E89" s="366">
        <v>0</v>
      </c>
      <c r="F89" s="367"/>
      <c r="G89" s="315"/>
    </row>
    <row r="90" spans="1:7" hidden="1" x14ac:dyDescent="0.25">
      <c r="A90" s="343"/>
      <c r="B90" s="343"/>
      <c r="C90" s="368" t="s">
        <v>395</v>
      </c>
      <c r="D90" s="369"/>
      <c r="E90" s="369"/>
      <c r="F90" s="370">
        <f>51+159</f>
        <v>210</v>
      </c>
      <c r="G90" s="371"/>
    </row>
    <row r="91" spans="1:7" x14ac:dyDescent="0.25">
      <c r="A91" s="343"/>
      <c r="B91" s="343"/>
      <c r="C91" s="372" t="s">
        <v>339</v>
      </c>
      <c r="D91" s="373">
        <f>SUM(D78:D90)</f>
        <v>46060.15</v>
      </c>
      <c r="E91" s="373">
        <f>SUM(E78:E90)</f>
        <v>27889.190000000002</v>
      </c>
      <c r="F91" s="373">
        <f>SUM(F78:F90)</f>
        <v>48354</v>
      </c>
      <c r="G91" s="361">
        <f>SUM(G78:G90)</f>
        <v>16073</v>
      </c>
    </row>
    <row r="92" spans="1:7" x14ac:dyDescent="0.25">
      <c r="A92" s="374"/>
      <c r="B92" s="374"/>
      <c r="C92" s="375"/>
      <c r="D92" s="376"/>
      <c r="E92" s="376"/>
      <c r="F92" s="376"/>
      <c r="G92" s="377"/>
    </row>
    <row r="93" spans="1:7" x14ac:dyDescent="0.25">
      <c r="A93" s="338" t="s">
        <v>396</v>
      </c>
      <c r="B93" s="338"/>
      <c r="C93" s="339"/>
      <c r="D93" s="340">
        <v>2015</v>
      </c>
      <c r="E93" s="341">
        <v>2016</v>
      </c>
      <c r="F93" s="342">
        <v>2017</v>
      </c>
      <c r="G93" s="309" t="s">
        <v>316</v>
      </c>
    </row>
    <row r="94" spans="1:7" x14ac:dyDescent="0.25">
      <c r="A94" s="343"/>
      <c r="B94" s="343"/>
      <c r="C94" s="365" t="s">
        <v>397</v>
      </c>
      <c r="D94" s="366">
        <v>11413.88</v>
      </c>
      <c r="E94" s="366">
        <v>5867.13</v>
      </c>
      <c r="F94" s="367">
        <v>11340</v>
      </c>
      <c r="G94" s="315">
        <v>7507</v>
      </c>
    </row>
    <row r="95" spans="1:7" x14ac:dyDescent="0.25">
      <c r="A95" s="343"/>
      <c r="B95" s="343"/>
      <c r="C95" s="378"/>
      <c r="D95" s="379"/>
      <c r="E95" s="379"/>
      <c r="F95" s="379"/>
      <c r="G95" s="380"/>
    </row>
    <row r="96" spans="1:7" x14ac:dyDescent="0.25">
      <c r="A96" s="338" t="s">
        <v>398</v>
      </c>
      <c r="B96" s="338"/>
      <c r="C96" s="381"/>
      <c r="D96" s="340">
        <v>2017</v>
      </c>
      <c r="E96" s="382" t="s">
        <v>316</v>
      </c>
      <c r="F96" s="383"/>
      <c r="G96" s="384"/>
    </row>
    <row r="97" spans="1:7" x14ac:dyDescent="0.25">
      <c r="A97" s="343"/>
      <c r="B97" s="343"/>
      <c r="C97" s="365" t="s">
        <v>399</v>
      </c>
      <c r="D97" s="385">
        <v>43658</v>
      </c>
      <c r="E97" s="386">
        <v>640</v>
      </c>
      <c r="F97" s="387"/>
      <c r="G97" s="384"/>
    </row>
    <row r="98" spans="1:7" x14ac:dyDescent="0.25">
      <c r="A98" s="343"/>
      <c r="B98" s="343"/>
      <c r="C98" s="365" t="s">
        <v>400</v>
      </c>
      <c r="D98" s="385"/>
      <c r="E98" s="386">
        <v>821</v>
      </c>
      <c r="F98" s="387"/>
      <c r="G98" s="384"/>
    </row>
    <row r="99" spans="1:7" x14ac:dyDescent="0.25">
      <c r="A99" s="343"/>
      <c r="B99" s="343"/>
      <c r="C99" s="365" t="s">
        <v>401</v>
      </c>
      <c r="D99" s="385">
        <v>800</v>
      </c>
      <c r="E99" s="386"/>
      <c r="F99" s="387"/>
      <c r="G99" s="384"/>
    </row>
    <row r="100" spans="1:7" x14ac:dyDescent="0.25">
      <c r="A100" s="343"/>
      <c r="B100" s="343"/>
      <c r="C100" s="365" t="s">
        <v>402</v>
      </c>
      <c r="D100" s="385">
        <v>2609</v>
      </c>
      <c r="E100" s="386">
        <v>1000</v>
      </c>
      <c r="F100" s="388" t="s">
        <v>403</v>
      </c>
      <c r="G100" s="384"/>
    </row>
    <row r="101" spans="1:7" x14ac:dyDescent="0.25">
      <c r="A101" s="343"/>
      <c r="B101" s="343"/>
      <c r="C101" s="365" t="s">
        <v>404</v>
      </c>
      <c r="D101" s="385">
        <v>5372</v>
      </c>
      <c r="E101" s="386"/>
      <c r="F101" s="387"/>
      <c r="G101" s="384"/>
    </row>
    <row r="102" spans="1:7" x14ac:dyDescent="0.25">
      <c r="A102" s="343"/>
      <c r="B102" s="343"/>
      <c r="C102" s="365" t="s">
        <v>405</v>
      </c>
      <c r="D102" s="385">
        <v>4390</v>
      </c>
      <c r="E102" s="386"/>
      <c r="F102" s="387"/>
      <c r="G102" s="384"/>
    </row>
    <row r="103" spans="1:7" x14ac:dyDescent="0.25">
      <c r="A103" s="343"/>
      <c r="B103" s="343"/>
      <c r="C103" s="365" t="s">
        <v>406</v>
      </c>
      <c r="D103" s="385">
        <v>3847</v>
      </c>
      <c r="E103" s="386"/>
      <c r="F103" s="387"/>
      <c r="G103" s="384"/>
    </row>
    <row r="104" spans="1:7" x14ac:dyDescent="0.25">
      <c r="A104" s="343"/>
      <c r="B104" s="343"/>
      <c r="C104" s="365" t="s">
        <v>407</v>
      </c>
      <c r="D104" s="385">
        <v>2532</v>
      </c>
      <c r="E104" s="386"/>
      <c r="F104" s="387"/>
      <c r="G104" s="384"/>
    </row>
    <row r="105" spans="1:7" x14ac:dyDescent="0.25">
      <c r="A105" s="343"/>
      <c r="B105" s="343"/>
      <c r="C105" s="365" t="s">
        <v>408</v>
      </c>
      <c r="D105" s="385"/>
      <c r="E105" s="386">
        <f>5748+3675+1550+2268</f>
        <v>13241</v>
      </c>
      <c r="F105" s="387"/>
      <c r="G105" s="384"/>
    </row>
    <row r="106" spans="1:7" x14ac:dyDescent="0.25">
      <c r="A106" s="343"/>
      <c r="B106" s="343"/>
      <c r="C106" s="365" t="s">
        <v>409</v>
      </c>
      <c r="D106" s="385"/>
      <c r="E106" s="386">
        <f>5314+1440</f>
        <v>6754</v>
      </c>
      <c r="F106" s="387"/>
      <c r="G106" s="384"/>
    </row>
    <row r="107" spans="1:7" x14ac:dyDescent="0.25">
      <c r="A107" s="343"/>
      <c r="B107" s="343"/>
      <c r="C107" s="365" t="s">
        <v>410</v>
      </c>
      <c r="D107" s="385"/>
      <c r="E107" s="386">
        <f>2592+306</f>
        <v>2898</v>
      </c>
      <c r="F107" s="387"/>
      <c r="G107" s="384"/>
    </row>
    <row r="108" spans="1:7" x14ac:dyDescent="0.25">
      <c r="A108" s="343"/>
      <c r="B108" s="343"/>
      <c r="C108" s="368" t="s">
        <v>411</v>
      </c>
      <c r="D108" s="389">
        <v>825</v>
      </c>
      <c r="E108" s="390">
        <f>1835+199+265</f>
        <v>2299</v>
      </c>
      <c r="F108" s="387"/>
      <c r="G108" s="384"/>
    </row>
    <row r="109" spans="1:7" x14ac:dyDescent="0.25">
      <c r="A109" s="343"/>
      <c r="B109" s="343"/>
      <c r="C109" s="372" t="s">
        <v>339</v>
      </c>
      <c r="D109" s="391">
        <f>SUM(D97:D108)</f>
        <v>64033</v>
      </c>
      <c r="E109" s="391">
        <f>SUM(E97:E108)</f>
        <v>27653</v>
      </c>
      <c r="F109" s="392"/>
      <c r="G109" s="384"/>
    </row>
    <row r="110" spans="1:7" x14ac:dyDescent="0.25">
      <c r="A110" s="318"/>
      <c r="B110" s="318"/>
      <c r="C110" s="318"/>
      <c r="D110" s="393"/>
      <c r="E110" s="393"/>
      <c r="F110" s="393"/>
      <c r="G110" s="384"/>
    </row>
    <row r="111" spans="1:7" s="327" customFormat="1" x14ac:dyDescent="0.25">
      <c r="A111" s="326"/>
      <c r="B111" s="326"/>
      <c r="C111" s="326"/>
      <c r="D111" s="326"/>
      <c r="F111" s="394"/>
      <c r="G111" s="395"/>
    </row>
    <row r="112" spans="1:7" s="327" customFormat="1" x14ac:dyDescent="0.25">
      <c r="A112" s="326"/>
      <c r="B112" s="775"/>
      <c r="C112" s="775"/>
      <c r="D112" s="396"/>
      <c r="F112" s="394"/>
      <c r="G112" s="395"/>
    </row>
    <row r="113" spans="1:7" s="327" customFormat="1" x14ac:dyDescent="0.25">
      <c r="A113" s="326"/>
      <c r="B113" s="326"/>
      <c r="C113" s="397"/>
      <c r="D113" s="398"/>
      <c r="F113" s="394"/>
      <c r="G113" s="395"/>
    </row>
    <row r="114" spans="1:7" s="327" customFormat="1" x14ac:dyDescent="0.25">
      <c r="A114" s="326"/>
      <c r="B114" s="326"/>
      <c r="C114" s="399"/>
      <c r="D114" s="398"/>
      <c r="F114" s="394"/>
      <c r="G114" s="395"/>
    </row>
    <row r="115" spans="1:7" s="327" customFormat="1" x14ac:dyDescent="0.25">
      <c r="A115" s="326"/>
      <c r="B115" s="326"/>
      <c r="C115" s="399"/>
      <c r="D115" s="398"/>
      <c r="F115" s="394"/>
      <c r="G115" s="395"/>
    </row>
    <row r="116" spans="1:7" x14ac:dyDescent="0.25">
      <c r="A116" s="326"/>
      <c r="B116" s="326"/>
      <c r="C116" s="326"/>
      <c r="D116" s="326"/>
    </row>
    <row r="117" spans="1:7" x14ac:dyDescent="0.25">
      <c r="A117" s="326"/>
      <c r="B117" s="776">
        <v>2017</v>
      </c>
      <c r="C117" s="776"/>
      <c r="D117" s="326">
        <v>199835</v>
      </c>
    </row>
    <row r="118" spans="1:7" x14ac:dyDescent="0.25">
      <c r="A118" s="326"/>
      <c r="B118" s="326"/>
      <c r="C118" s="400" t="s">
        <v>341</v>
      </c>
      <c r="D118" s="326"/>
    </row>
    <row r="119" spans="1:7" x14ac:dyDescent="0.25">
      <c r="A119" s="326"/>
      <c r="B119" s="326"/>
      <c r="C119" s="326" t="s">
        <v>412</v>
      </c>
      <c r="D119" s="326"/>
    </row>
  </sheetData>
  <mergeCells count="2">
    <mergeCell ref="B112:C112"/>
    <mergeCell ref="B117:C117"/>
  </mergeCells>
  <pageMargins left="0.70000000000000007" right="0.70000000000000007" top="1.6417000000000002" bottom="1.5374000000000001" header="0.30000000000000004" footer="1.1436999999999999"/>
  <pageSetup paperSize="0" fitToWidth="0" fitToHeight="0" orientation="portrait" horizontalDpi="0" verticalDpi="0" copies="0"/>
  <headerFooter alignWithMargins="0">
    <oddHeader>&amp;C&amp;K0000002019 Budget Session - Account Detail&amp;R&amp;9&amp;K000000Oct. 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0"/>
  <sheetViews>
    <sheetView topLeftCell="A28" workbookViewId="0">
      <selection activeCell="B59" sqref="B59"/>
    </sheetView>
  </sheetViews>
  <sheetFormatPr defaultRowHeight="14.25" x14ac:dyDescent="0.2"/>
  <cols>
    <col min="1" max="1" width="9.75" style="318" customWidth="1"/>
    <col min="2" max="2" width="2.375" style="318" customWidth="1"/>
    <col min="3" max="3" width="28.5" style="318" customWidth="1"/>
    <col min="4" max="4" width="7.5" style="318" customWidth="1"/>
    <col min="5" max="5" width="9.875" style="318" customWidth="1"/>
    <col min="6" max="6" width="10.625" style="318" customWidth="1"/>
    <col min="7" max="7" width="11" style="318" customWidth="1"/>
    <col min="8" max="8" width="8.375" style="318" customWidth="1"/>
    <col min="9" max="9" width="27.875" style="318" customWidth="1"/>
    <col min="10" max="1024" width="8.875" style="318" customWidth="1"/>
  </cols>
  <sheetData>
    <row r="1" spans="1:9" s="401" customFormat="1" ht="15" x14ac:dyDescent="0.25">
      <c r="A1" s="401" t="s">
        <v>413</v>
      </c>
      <c r="B1" s="402"/>
      <c r="C1" s="402"/>
      <c r="D1" s="305">
        <v>2013</v>
      </c>
      <c r="E1" s="306">
        <v>2014</v>
      </c>
      <c r="F1" s="306">
        <v>2015</v>
      </c>
      <c r="G1" s="307">
        <v>2016</v>
      </c>
      <c r="H1" s="401">
        <v>2017</v>
      </c>
      <c r="I1" s="401">
        <v>2018</v>
      </c>
    </row>
    <row r="2" spans="1:9" s="403" customFormat="1" ht="15" x14ac:dyDescent="0.25">
      <c r="A2" s="403" t="s">
        <v>38</v>
      </c>
      <c r="B2" s="403" t="s">
        <v>414</v>
      </c>
      <c r="C2" s="305"/>
      <c r="D2" s="305"/>
      <c r="E2" s="306">
        <v>0</v>
      </c>
      <c r="F2" s="306">
        <v>25870</v>
      </c>
      <c r="G2" s="307" t="s">
        <v>415</v>
      </c>
      <c r="I2" s="403">
        <v>13857</v>
      </c>
    </row>
    <row r="3" spans="1:9" s="401" customFormat="1" ht="15" x14ac:dyDescent="0.25">
      <c r="A3" s="401" t="s">
        <v>601</v>
      </c>
      <c r="B3" s="402"/>
      <c r="C3" s="402"/>
      <c r="D3" s="305"/>
      <c r="E3" s="306"/>
      <c r="F3" s="306"/>
      <c r="G3" s="307"/>
    </row>
    <row r="4" spans="1:9" s="401" customFormat="1" ht="15" x14ac:dyDescent="0.25">
      <c r="A4" s="401" t="s">
        <v>416</v>
      </c>
      <c r="B4" s="402"/>
      <c r="C4" s="402"/>
      <c r="D4" s="305"/>
      <c r="E4" s="306"/>
      <c r="F4" s="306"/>
      <c r="G4" s="307"/>
    </row>
    <row r="5" spans="1:9" s="401" customFormat="1" ht="15" x14ac:dyDescent="0.25">
      <c r="B5" s="402"/>
      <c r="C5" s="402"/>
      <c r="D5" s="305"/>
      <c r="E5" s="306"/>
      <c r="F5" s="306"/>
      <c r="G5" s="307"/>
    </row>
    <row r="6" spans="1:9" s="405" customFormat="1" ht="15" x14ac:dyDescent="0.25">
      <c r="A6" s="404" t="s">
        <v>15</v>
      </c>
      <c r="B6" s="404" t="s">
        <v>16</v>
      </c>
      <c r="E6" s="406">
        <v>0</v>
      </c>
      <c r="F6" s="407">
        <v>12235</v>
      </c>
      <c r="G6" s="407">
        <v>9307</v>
      </c>
    </row>
    <row r="7" spans="1:9" s="401" customFormat="1" ht="15" x14ac:dyDescent="0.25">
      <c r="A7" s="408" t="s">
        <v>417</v>
      </c>
      <c r="B7" s="402"/>
      <c r="C7" s="402"/>
      <c r="D7" s="305"/>
      <c r="E7" s="409"/>
      <c r="F7" s="306"/>
      <c r="G7" s="307"/>
    </row>
    <row r="8" spans="1:9" s="401" customFormat="1" ht="15" x14ac:dyDescent="0.25">
      <c r="A8" s="408"/>
      <c r="B8" s="402"/>
      <c r="C8" s="402"/>
      <c r="D8" s="305"/>
      <c r="E8" s="409"/>
      <c r="F8" s="306"/>
      <c r="G8" s="307"/>
    </row>
    <row r="9" spans="1:9" s="403" customFormat="1" ht="15" x14ac:dyDescent="0.25">
      <c r="A9" s="338" t="s">
        <v>21</v>
      </c>
      <c r="B9" s="339" t="s">
        <v>22</v>
      </c>
      <c r="C9" s="306"/>
      <c r="D9" s="306"/>
      <c r="E9" s="306"/>
      <c r="F9" s="306">
        <v>11099</v>
      </c>
      <c r="G9" s="305">
        <v>11888</v>
      </c>
    </row>
    <row r="10" spans="1:9" s="401" customFormat="1" ht="15" x14ac:dyDescent="0.25">
      <c r="A10" s="408" t="s">
        <v>418</v>
      </c>
      <c r="B10" s="402"/>
      <c r="C10" s="402"/>
      <c r="D10" s="305"/>
      <c r="E10" s="409"/>
      <c r="F10" s="306"/>
      <c r="G10" s="307"/>
    </row>
    <row r="11" spans="1:9" s="401" customFormat="1" ht="15" x14ac:dyDescent="0.25">
      <c r="A11" s="408"/>
      <c r="B11" s="402"/>
      <c r="C11" s="402"/>
      <c r="D11" s="305"/>
      <c r="E11" s="409"/>
      <c r="F11" s="306"/>
      <c r="G11" s="307"/>
    </row>
    <row r="12" spans="1:9" s="403" customFormat="1" ht="15" x14ac:dyDescent="0.25">
      <c r="A12" s="410" t="s">
        <v>25</v>
      </c>
      <c r="B12" s="305" t="s">
        <v>26</v>
      </c>
      <c r="C12" s="305"/>
      <c r="D12" s="305">
        <v>7746</v>
      </c>
      <c r="E12" s="306">
        <v>7737</v>
      </c>
      <c r="F12" s="306">
        <v>7735</v>
      </c>
      <c r="G12" s="307" t="s">
        <v>419</v>
      </c>
    </row>
    <row r="13" spans="1:9" s="401" customFormat="1" ht="15" x14ac:dyDescent="0.25">
      <c r="A13" s="408" t="s">
        <v>420</v>
      </c>
      <c r="B13" s="402"/>
      <c r="C13" s="402"/>
      <c r="D13" s="305"/>
      <c r="E13" s="409"/>
      <c r="F13" s="306"/>
      <c r="G13" s="307"/>
    </row>
    <row r="14" spans="1:9" s="401" customFormat="1" ht="15" x14ac:dyDescent="0.25">
      <c r="A14" s="408"/>
      <c r="B14" s="402"/>
      <c r="C14" s="402"/>
      <c r="D14" s="305"/>
      <c r="E14" s="409"/>
      <c r="F14" s="306"/>
      <c r="G14" s="307"/>
    </row>
    <row r="15" spans="1:9" s="403" customFormat="1" ht="15" x14ac:dyDescent="0.25">
      <c r="A15" s="305" t="s">
        <v>23</v>
      </c>
      <c r="B15" s="411" t="s">
        <v>24</v>
      </c>
      <c r="C15" s="306"/>
      <c r="D15" s="306"/>
      <c r="E15" s="306"/>
      <c r="F15" s="306"/>
      <c r="G15" s="305"/>
    </row>
    <row r="16" spans="1:9" s="401" customFormat="1" ht="15" x14ac:dyDescent="0.25">
      <c r="A16" s="408" t="s">
        <v>421</v>
      </c>
      <c r="B16" s="402"/>
      <c r="C16" s="402"/>
      <c r="D16" s="305"/>
      <c r="E16" s="409"/>
      <c r="F16" s="306"/>
      <c r="G16" s="307"/>
    </row>
    <row r="17" spans="1:7" s="401" customFormat="1" ht="15" x14ac:dyDescent="0.25">
      <c r="A17" s="408"/>
      <c r="B17" s="402"/>
      <c r="C17" s="402"/>
      <c r="D17" s="305"/>
      <c r="E17" s="409"/>
      <c r="F17" s="306"/>
      <c r="G17" s="307"/>
    </row>
    <row r="18" spans="1:7" s="403" customFormat="1" ht="15" x14ac:dyDescent="0.25">
      <c r="A18" s="410" t="s">
        <v>27</v>
      </c>
      <c r="B18" s="305" t="s">
        <v>28</v>
      </c>
      <c r="C18" s="305"/>
      <c r="D18" s="305"/>
      <c r="E18" s="306"/>
      <c r="F18" s="306"/>
      <c r="G18" s="307"/>
    </row>
    <row r="19" spans="1:7" s="401" customFormat="1" ht="15" x14ac:dyDescent="0.25">
      <c r="A19" s="408" t="s">
        <v>422</v>
      </c>
      <c r="B19" s="402"/>
      <c r="C19" s="402"/>
      <c r="D19" s="305"/>
      <c r="E19" s="409"/>
      <c r="F19" s="306"/>
      <c r="G19" s="307"/>
    </row>
    <row r="20" spans="1:7" s="401" customFormat="1" ht="15" x14ac:dyDescent="0.25">
      <c r="A20" s="408"/>
      <c r="B20" s="402"/>
      <c r="C20" s="402"/>
      <c r="D20" s="305"/>
      <c r="E20" s="409"/>
      <c r="F20" s="306"/>
      <c r="G20" s="307"/>
    </row>
    <row r="21" spans="1:7" s="403" customFormat="1" ht="15" x14ac:dyDescent="0.25">
      <c r="A21" s="403" t="s">
        <v>29</v>
      </c>
      <c r="B21" s="305" t="s">
        <v>423</v>
      </c>
      <c r="C21" s="305"/>
      <c r="D21" s="305"/>
      <c r="E21" s="306"/>
      <c r="F21" s="306"/>
      <c r="G21" s="307"/>
    </row>
    <row r="22" spans="1:7" s="403" customFormat="1" ht="15" x14ac:dyDescent="0.25">
      <c r="A22" s="401" t="s">
        <v>424</v>
      </c>
      <c r="B22" s="305"/>
      <c r="C22" s="305"/>
      <c r="D22" s="305"/>
      <c r="E22" s="306"/>
      <c r="F22" s="306"/>
      <c r="G22" s="307"/>
    </row>
    <row r="23" spans="1:7" s="403" customFormat="1" ht="15" x14ac:dyDescent="0.25">
      <c r="B23" s="305"/>
      <c r="C23" s="305"/>
      <c r="D23" s="305"/>
      <c r="E23" s="306"/>
      <c r="F23" s="306"/>
      <c r="G23" s="307"/>
    </row>
    <row r="24" spans="1:7" s="403" customFormat="1" ht="15" x14ac:dyDescent="0.25">
      <c r="A24" s="403" t="s">
        <v>44</v>
      </c>
      <c r="B24" s="305" t="s">
        <v>45</v>
      </c>
      <c r="C24" s="305"/>
      <c r="D24" s="305"/>
      <c r="E24" s="306"/>
      <c r="F24" s="306"/>
      <c r="G24" s="307"/>
    </row>
    <row r="25" spans="1:7" s="403" customFormat="1" ht="15" x14ac:dyDescent="0.25">
      <c r="A25" s="401" t="s">
        <v>425</v>
      </c>
      <c r="B25" s="305"/>
      <c r="C25" s="305"/>
      <c r="D25" s="305"/>
      <c r="E25" s="306"/>
      <c r="F25" s="306"/>
      <c r="G25" s="307"/>
    </row>
    <row r="26" spans="1:7" s="403" customFormat="1" ht="15" x14ac:dyDescent="0.25">
      <c r="B26" s="305"/>
      <c r="C26" s="305"/>
      <c r="D26" s="305"/>
      <c r="E26" s="306"/>
      <c r="F26" s="306"/>
      <c r="G26" s="307"/>
    </row>
    <row r="27" spans="1:7" s="414" customFormat="1" ht="15" x14ac:dyDescent="0.25">
      <c r="A27" s="412" t="s">
        <v>46</v>
      </c>
      <c r="B27" s="404" t="s">
        <v>47</v>
      </c>
      <c r="C27" s="305"/>
      <c r="D27" s="306"/>
      <c r="E27" s="413"/>
      <c r="F27" s="413"/>
      <c r="G27" s="305"/>
    </row>
    <row r="28" spans="1:7" s="414" customFormat="1" ht="15" x14ac:dyDescent="0.25">
      <c r="A28" s="415" t="s">
        <v>426</v>
      </c>
      <c r="B28" s="404"/>
      <c r="C28" s="305"/>
      <c r="D28" s="306"/>
      <c r="E28" s="413"/>
      <c r="F28" s="413"/>
      <c r="G28" s="305"/>
    </row>
    <row r="29" spans="1:7" s="414" customFormat="1" ht="15" x14ac:dyDescent="0.25">
      <c r="A29" s="415"/>
      <c r="B29" s="404"/>
      <c r="C29" s="305"/>
      <c r="D29" s="306"/>
      <c r="E29" s="413"/>
      <c r="F29" s="413"/>
      <c r="G29" s="305"/>
    </row>
    <row r="30" spans="1:7" s="414" customFormat="1" ht="15" x14ac:dyDescent="0.25">
      <c r="A30" s="412" t="s">
        <v>52</v>
      </c>
      <c r="B30" s="404" t="s">
        <v>53</v>
      </c>
      <c r="C30" s="305"/>
      <c r="D30" s="306"/>
      <c r="E30" s="413"/>
      <c r="F30" s="413"/>
      <c r="G30" s="305"/>
    </row>
    <row r="31" spans="1:7" s="414" customFormat="1" ht="15" x14ac:dyDescent="0.25">
      <c r="A31" s="415" t="s">
        <v>427</v>
      </c>
      <c r="B31" s="404"/>
      <c r="C31" s="305"/>
      <c r="D31" s="306"/>
      <c r="E31" s="413"/>
      <c r="F31" s="413"/>
      <c r="G31" s="305"/>
    </row>
    <row r="32" spans="1:7" s="401" customFormat="1" ht="15" x14ac:dyDescent="0.25">
      <c r="A32" s="403"/>
      <c r="B32" s="416"/>
      <c r="C32" s="402"/>
      <c r="D32" s="305"/>
      <c r="E32" s="409"/>
      <c r="F32" s="409"/>
      <c r="G32" s="409"/>
    </row>
    <row r="33" spans="1:8" s="401" customFormat="1" ht="15" x14ac:dyDescent="0.25">
      <c r="A33" s="403" t="s">
        <v>54</v>
      </c>
      <c r="B33" s="411" t="s">
        <v>55</v>
      </c>
      <c r="C33" s="402"/>
      <c r="D33" s="305"/>
      <c r="E33" s="409"/>
      <c r="F33" s="409"/>
      <c r="G33" s="409"/>
    </row>
    <row r="34" spans="1:8" s="401" customFormat="1" ht="15" x14ac:dyDescent="0.25">
      <c r="A34" s="401" t="s">
        <v>428</v>
      </c>
      <c r="B34" s="416"/>
      <c r="C34" s="402"/>
      <c r="D34" s="305"/>
      <c r="E34" s="409"/>
      <c r="F34" s="409"/>
      <c r="G34" s="409"/>
    </row>
    <row r="35" spans="1:8" s="414" customFormat="1" ht="15" x14ac:dyDescent="0.25">
      <c r="A35" s="415"/>
      <c r="B35" s="404"/>
      <c r="C35" s="305"/>
      <c r="D35" s="306"/>
      <c r="E35" s="413"/>
      <c r="F35" s="413"/>
      <c r="G35" s="305"/>
    </row>
    <row r="36" spans="1:8" s="418" customFormat="1" ht="15" x14ac:dyDescent="0.25">
      <c r="A36" s="404" t="s">
        <v>62</v>
      </c>
      <c r="B36" s="404" t="s">
        <v>63</v>
      </c>
      <c r="C36" s="407"/>
      <c r="D36" s="417"/>
      <c r="E36" s="417"/>
      <c r="F36" s="407"/>
      <c r="G36" s="404"/>
    </row>
    <row r="37" spans="1:8" s="418" customFormat="1" ht="15" x14ac:dyDescent="0.25">
      <c r="A37" s="419" t="s">
        <v>429</v>
      </c>
      <c r="B37" s="404"/>
      <c r="C37" s="407"/>
      <c r="D37" s="417"/>
      <c r="E37" s="417"/>
      <c r="F37" s="407"/>
      <c r="G37" s="404"/>
    </row>
    <row r="38" spans="1:8" s="418" customFormat="1" ht="15" x14ac:dyDescent="0.25">
      <c r="A38" s="419"/>
      <c r="B38" s="404"/>
      <c r="C38" s="407"/>
      <c r="D38" s="417"/>
      <c r="E38" s="417"/>
      <c r="F38" s="407"/>
      <c r="G38" s="404"/>
    </row>
    <row r="39" spans="1:8" s="418" customFormat="1" ht="15" x14ac:dyDescent="0.25">
      <c r="A39" s="404" t="s">
        <v>66</v>
      </c>
      <c r="B39" s="404" t="s">
        <v>67</v>
      </c>
      <c r="C39" s="407"/>
      <c r="D39" s="417"/>
      <c r="E39" s="417"/>
      <c r="F39" s="407"/>
      <c r="G39" s="404"/>
    </row>
    <row r="40" spans="1:8" s="423" customFormat="1" ht="15" x14ac:dyDescent="0.25">
      <c r="A40" s="415" t="s">
        <v>430</v>
      </c>
      <c r="B40" s="420"/>
      <c r="C40" s="419"/>
      <c r="D40" s="421"/>
      <c r="E40" s="422"/>
      <c r="F40" s="422"/>
      <c r="G40" s="412"/>
    </row>
    <row r="41" spans="1:8" s="401" customFormat="1" ht="15" x14ac:dyDescent="0.25">
      <c r="B41" s="402"/>
      <c r="C41" s="402"/>
      <c r="D41" s="305"/>
      <c r="E41" s="409"/>
      <c r="F41" s="409"/>
      <c r="G41" s="409"/>
    </row>
    <row r="42" spans="1:8" s="403" customFormat="1" ht="15" x14ac:dyDescent="0.25">
      <c r="A42" s="413" t="s">
        <v>72</v>
      </c>
      <c r="B42" s="305" t="s">
        <v>73</v>
      </c>
      <c r="D42" s="305">
        <v>3500</v>
      </c>
      <c r="E42" s="306">
        <v>12833</v>
      </c>
      <c r="F42" s="306">
        <v>3205</v>
      </c>
      <c r="G42" s="413">
        <v>8250</v>
      </c>
      <c r="H42" s="403">
        <v>15557</v>
      </c>
    </row>
    <row r="43" spans="1:8" s="403" customFormat="1" ht="15" x14ac:dyDescent="0.25">
      <c r="A43" s="413"/>
      <c r="B43" s="305"/>
      <c r="D43" s="305"/>
      <c r="E43" s="306"/>
      <c r="F43" s="306"/>
      <c r="G43" s="413"/>
      <c r="H43" s="403" t="s">
        <v>431</v>
      </c>
    </row>
    <row r="44" spans="1:8" s="401" customFormat="1" ht="15" x14ac:dyDescent="0.25">
      <c r="A44" s="412" t="s">
        <v>79</v>
      </c>
      <c r="B44" s="404" t="s">
        <v>80</v>
      </c>
      <c r="C44" s="305"/>
      <c r="D44" s="409"/>
      <c r="E44" s="409"/>
      <c r="F44" s="409"/>
      <c r="G44" s="402"/>
    </row>
    <row r="45" spans="1:8" s="401" customFormat="1" ht="15" x14ac:dyDescent="0.25">
      <c r="A45" s="401" t="s">
        <v>432</v>
      </c>
      <c r="B45" s="416"/>
      <c r="C45" s="402"/>
      <c r="D45" s="305"/>
      <c r="E45" s="409"/>
      <c r="F45" s="409"/>
      <c r="G45" s="409"/>
    </row>
    <row r="46" spans="1:8" s="401" customFormat="1" ht="15" x14ac:dyDescent="0.25">
      <c r="B46" s="416"/>
      <c r="C46" s="402"/>
      <c r="D46" s="305"/>
      <c r="E46" s="409"/>
      <c r="F46" s="409"/>
      <c r="G46" s="409"/>
    </row>
    <row r="47" spans="1:8" s="403" customFormat="1" ht="15" x14ac:dyDescent="0.25">
      <c r="A47" s="412" t="s">
        <v>85</v>
      </c>
      <c r="B47" s="404" t="s">
        <v>86</v>
      </c>
      <c r="C47" s="305"/>
      <c r="D47" s="306"/>
      <c r="E47" s="306"/>
      <c r="F47" s="306"/>
      <c r="G47" s="305"/>
    </row>
    <row r="48" spans="1:8" s="401" customFormat="1" ht="15" x14ac:dyDescent="0.25">
      <c r="A48" s="401" t="s">
        <v>433</v>
      </c>
      <c r="B48" s="416"/>
      <c r="C48" s="402"/>
      <c r="D48" s="305"/>
      <c r="E48" s="409"/>
      <c r="F48" s="409"/>
      <c r="G48" s="409"/>
    </row>
    <row r="49" spans="1:7" s="401" customFormat="1" ht="15" x14ac:dyDescent="0.25">
      <c r="B49" s="416"/>
      <c r="C49" s="402"/>
      <c r="D49" s="305"/>
      <c r="E49" s="409"/>
      <c r="F49" s="409"/>
      <c r="G49" s="409"/>
    </row>
    <row r="50" spans="1:7" s="401" customFormat="1" ht="15" x14ac:dyDescent="0.25">
      <c r="B50" s="416"/>
      <c r="C50" s="402"/>
      <c r="D50" s="305"/>
      <c r="E50" s="409"/>
      <c r="F50" s="409"/>
      <c r="G50" s="409"/>
    </row>
    <row r="51" spans="1:7" s="401" customFormat="1" ht="15" x14ac:dyDescent="0.25">
      <c r="A51" s="338" t="s">
        <v>92</v>
      </c>
      <c r="B51" s="339" t="s">
        <v>93</v>
      </c>
      <c r="C51" s="305"/>
      <c r="D51" s="409"/>
      <c r="E51" s="409"/>
      <c r="F51" s="409"/>
      <c r="G51" s="402"/>
    </row>
    <row r="52" spans="1:7" s="401" customFormat="1" ht="15" x14ac:dyDescent="0.25">
      <c r="B52" s="402"/>
      <c r="C52" s="402"/>
      <c r="D52" s="305"/>
      <c r="E52" s="409"/>
      <c r="F52" s="409"/>
      <c r="G52" s="409"/>
    </row>
    <row r="53" spans="1:7" s="401" customFormat="1" ht="15" x14ac:dyDescent="0.25">
      <c r="B53" s="402"/>
      <c r="C53" s="402"/>
      <c r="D53" s="305"/>
      <c r="E53" s="409"/>
      <c r="F53" s="409"/>
      <c r="G53" s="409"/>
    </row>
    <row r="54" spans="1:7" s="401" customFormat="1" ht="15" x14ac:dyDescent="0.25">
      <c r="B54" s="402"/>
      <c r="C54" s="402"/>
      <c r="D54" s="305"/>
      <c r="E54" s="409"/>
      <c r="F54" s="409"/>
      <c r="G54" s="409"/>
    </row>
    <row r="55" spans="1:7" s="401" customFormat="1" ht="15" x14ac:dyDescent="0.25">
      <c r="B55" s="402"/>
      <c r="C55" s="402"/>
      <c r="D55" s="305"/>
      <c r="E55" s="409"/>
      <c r="F55" s="409"/>
      <c r="G55" s="409"/>
    </row>
    <row r="56" spans="1:7" x14ac:dyDescent="0.2">
      <c r="A56" s="318" t="s">
        <v>602</v>
      </c>
    </row>
    <row r="57" spans="1:7" x14ac:dyDescent="0.2">
      <c r="B57" s="318" t="s">
        <v>434</v>
      </c>
    </row>
    <row r="58" spans="1:7" x14ac:dyDescent="0.2">
      <c r="B58" s="318" t="s">
        <v>435</v>
      </c>
    </row>
    <row r="59" spans="1:7" x14ac:dyDescent="0.2">
      <c r="B59" s="318" t="s">
        <v>605</v>
      </c>
    </row>
    <row r="60" spans="1:7" x14ac:dyDescent="0.2">
      <c r="A60" s="318" t="s">
        <v>339</v>
      </c>
      <c r="B60" s="777">
        <v>199358</v>
      </c>
      <c r="C60" s="777"/>
    </row>
  </sheetData>
  <mergeCells count="1">
    <mergeCell ref="B60:C60"/>
  </mergeCells>
  <pageMargins left="0.25" right="0.25" top="1.0374000000000003" bottom="1.2874000000000003" header="0.64370000000000016" footer="0.89370000000000016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3"/>
  <sheetViews>
    <sheetView topLeftCell="A19" workbookViewId="0"/>
  </sheetViews>
  <sheetFormatPr defaultRowHeight="15" x14ac:dyDescent="0.25"/>
  <cols>
    <col min="1" max="1" width="13" style="426" customWidth="1"/>
    <col min="2" max="2" width="32.75" style="426" customWidth="1"/>
    <col min="3" max="3" width="10.25" style="424" customWidth="1"/>
    <col min="4" max="4" width="10.125" style="424" customWidth="1"/>
    <col min="5" max="6" width="8.875" style="424" customWidth="1"/>
    <col min="7" max="7" width="9.25" style="424" customWidth="1"/>
    <col min="8" max="1024" width="9.25" style="426" customWidth="1"/>
  </cols>
  <sheetData>
    <row r="1" spans="1:7" x14ac:dyDescent="0.25">
      <c r="A1" s="338" t="s">
        <v>118</v>
      </c>
      <c r="B1" s="339" t="s">
        <v>119</v>
      </c>
      <c r="D1" s="425"/>
      <c r="E1" s="341"/>
      <c r="F1" s="341"/>
      <c r="G1" s="341"/>
    </row>
    <row r="2" spans="1:7" x14ac:dyDescent="0.25">
      <c r="A2" s="427" t="s">
        <v>436</v>
      </c>
      <c r="B2" s="427"/>
      <c r="C2" s="425"/>
      <c r="D2" s="425"/>
      <c r="E2" s="341"/>
      <c r="F2" s="341"/>
      <c r="G2" s="341"/>
    </row>
    <row r="3" spans="1:7" x14ac:dyDescent="0.25">
      <c r="A3" s="427" t="s">
        <v>437</v>
      </c>
      <c r="B3" s="427"/>
      <c r="C3" s="425"/>
      <c r="D3" s="425"/>
      <c r="E3" s="341"/>
      <c r="F3" s="341"/>
      <c r="G3" s="341"/>
    </row>
    <row r="4" spans="1:7" x14ac:dyDescent="0.25">
      <c r="A4" s="338"/>
      <c r="B4" s="338"/>
      <c r="C4" s="380"/>
      <c r="D4" s="425"/>
      <c r="E4" s="341"/>
      <c r="F4" s="341"/>
      <c r="G4" s="341"/>
    </row>
    <row r="5" spans="1:7" x14ac:dyDescent="0.25">
      <c r="A5" s="338" t="s">
        <v>122</v>
      </c>
      <c r="B5" s="339" t="s">
        <v>123</v>
      </c>
      <c r="D5" s="341"/>
      <c r="E5" s="341"/>
      <c r="F5" s="341"/>
      <c r="G5" s="341"/>
    </row>
    <row r="6" spans="1:7" x14ac:dyDescent="0.25">
      <c r="A6" s="353" t="s">
        <v>438</v>
      </c>
      <c r="B6" s="353"/>
      <c r="C6" s="380"/>
      <c r="D6" s="341"/>
      <c r="E6" s="341"/>
      <c r="F6" s="341"/>
      <c r="G6" s="341"/>
    </row>
    <row r="7" spans="1:7" x14ac:dyDescent="0.25">
      <c r="A7" s="353" t="s">
        <v>439</v>
      </c>
      <c r="B7" s="353"/>
      <c r="C7" s="380"/>
      <c r="D7" s="341"/>
      <c r="E7" s="341"/>
      <c r="F7" s="341"/>
      <c r="G7" s="341"/>
    </row>
    <row r="8" spans="1:7" x14ac:dyDescent="0.25">
      <c r="A8" s="338"/>
      <c r="B8" s="338"/>
      <c r="C8" s="380"/>
      <c r="D8" s="341"/>
      <c r="E8" s="341"/>
      <c r="F8" s="341"/>
      <c r="G8" s="341"/>
    </row>
    <row r="9" spans="1:7" x14ac:dyDescent="0.25">
      <c r="A9" s="338" t="s">
        <v>124</v>
      </c>
      <c r="B9" s="339" t="s">
        <v>125</v>
      </c>
      <c r="D9" s="341"/>
      <c r="E9" s="341"/>
      <c r="F9" s="341"/>
      <c r="G9" s="341"/>
    </row>
    <row r="10" spans="1:7" x14ac:dyDescent="0.25">
      <c r="A10" s="353" t="s">
        <v>440</v>
      </c>
      <c r="B10" s="353"/>
      <c r="C10" s="380"/>
      <c r="D10" s="341"/>
      <c r="E10" s="341"/>
      <c r="F10" s="341"/>
      <c r="G10" s="341"/>
    </row>
    <row r="11" spans="1:7" x14ac:dyDescent="0.25">
      <c r="A11" s="353"/>
      <c r="B11" s="353"/>
      <c r="C11" s="428"/>
      <c r="D11" s="429"/>
      <c r="E11" s="429"/>
      <c r="F11" s="429"/>
      <c r="G11" s="429"/>
    </row>
    <row r="12" spans="1:7" x14ac:dyDescent="0.25">
      <c r="A12" s="338" t="s">
        <v>155</v>
      </c>
      <c r="B12" s="358" t="s">
        <v>156</v>
      </c>
      <c r="D12" s="341"/>
      <c r="E12" s="341"/>
      <c r="F12" s="341"/>
      <c r="G12" s="341"/>
    </row>
    <row r="13" spans="1:7" x14ac:dyDescent="0.25">
      <c r="A13" s="353" t="s">
        <v>441</v>
      </c>
      <c r="B13" s="430"/>
      <c r="D13" s="429"/>
      <c r="E13" s="429"/>
      <c r="F13" s="429"/>
      <c r="G13" s="429"/>
    </row>
    <row r="14" spans="1:7" x14ac:dyDescent="0.25">
      <c r="A14" s="353"/>
      <c r="B14" s="430"/>
      <c r="D14" s="429"/>
      <c r="E14" s="429"/>
      <c r="F14" s="429"/>
      <c r="G14" s="429"/>
    </row>
    <row r="15" spans="1:7" x14ac:dyDescent="0.25">
      <c r="A15" s="338" t="s">
        <v>207</v>
      </c>
      <c r="B15" s="339" t="s">
        <v>442</v>
      </c>
    </row>
    <row r="16" spans="1:7" x14ac:dyDescent="0.25">
      <c r="A16" s="338" t="s">
        <v>443</v>
      </c>
      <c r="B16" s="339"/>
    </row>
    <row r="17" spans="1:7" x14ac:dyDescent="0.25">
      <c r="A17" s="426" t="s">
        <v>444</v>
      </c>
    </row>
    <row r="20" spans="1:7" x14ac:dyDescent="0.25">
      <c r="B20" s="431" t="s">
        <v>445</v>
      </c>
      <c r="C20" s="424">
        <v>2017</v>
      </c>
      <c r="D20" s="424">
        <v>2018</v>
      </c>
    </row>
    <row r="21" spans="1:7" s="432" customFormat="1" x14ac:dyDescent="0.25">
      <c r="A21" s="338" t="s">
        <v>269</v>
      </c>
      <c r="B21" s="339" t="s">
        <v>270</v>
      </c>
      <c r="C21" s="425">
        <v>5000</v>
      </c>
      <c r="D21" s="425">
        <v>8250</v>
      </c>
      <c r="E21" s="425"/>
      <c r="F21" s="425"/>
      <c r="G21" s="425"/>
    </row>
    <row r="22" spans="1:7" x14ac:dyDescent="0.25">
      <c r="B22" s="433" t="s">
        <v>446</v>
      </c>
      <c r="C22" s="424">
        <v>5000</v>
      </c>
      <c r="D22" s="424">
        <v>7000</v>
      </c>
    </row>
    <row r="23" spans="1:7" x14ac:dyDescent="0.25">
      <c r="B23" s="433" t="s">
        <v>447</v>
      </c>
      <c r="D23" s="424">
        <v>1250</v>
      </c>
    </row>
    <row r="24" spans="1:7" x14ac:dyDescent="0.25">
      <c r="B24" s="434" t="s">
        <v>445</v>
      </c>
      <c r="C24" s="424">
        <v>2017</v>
      </c>
      <c r="D24" s="424">
        <v>2018</v>
      </c>
    </row>
    <row r="25" spans="1:7" x14ac:dyDescent="0.25">
      <c r="A25" s="338" t="s">
        <v>277</v>
      </c>
      <c r="B25" s="339" t="s">
        <v>278</v>
      </c>
      <c r="C25" s="435">
        <f>SUM(C26:C27)</f>
        <v>16218</v>
      </c>
    </row>
    <row r="26" spans="1:7" x14ac:dyDescent="0.25">
      <c r="B26" s="433" t="s">
        <v>448</v>
      </c>
      <c r="C26" s="435">
        <v>6229</v>
      </c>
      <c r="D26" s="424">
        <v>6484</v>
      </c>
    </row>
    <row r="27" spans="1:7" x14ac:dyDescent="0.25">
      <c r="B27" s="433" t="s">
        <v>449</v>
      </c>
      <c r="C27" s="435">
        <v>9989</v>
      </c>
    </row>
    <row r="28" spans="1:7" x14ac:dyDescent="0.25">
      <c r="B28" s="433"/>
    </row>
    <row r="29" spans="1:7" x14ac:dyDescent="0.25">
      <c r="B29" s="433"/>
      <c r="C29" s="436">
        <v>2017</v>
      </c>
      <c r="D29" s="437">
        <v>2018</v>
      </c>
      <c r="E29" s="436">
        <v>2019</v>
      </c>
    </row>
    <row r="30" spans="1:7" x14ac:dyDescent="0.25">
      <c r="A30" s="338" t="s">
        <v>281</v>
      </c>
      <c r="B30" s="339" t="s">
        <v>282</v>
      </c>
      <c r="C30" s="436">
        <v>23817</v>
      </c>
      <c r="D30" s="779" t="s">
        <v>450</v>
      </c>
      <c r="E30" s="780">
        <v>0</v>
      </c>
    </row>
    <row r="31" spans="1:7" x14ac:dyDescent="0.25">
      <c r="A31" s="338" t="s">
        <v>283</v>
      </c>
      <c r="B31" s="339" t="s">
        <v>284</v>
      </c>
      <c r="C31" s="438">
        <v>1060</v>
      </c>
      <c r="D31" s="779"/>
      <c r="E31" s="780"/>
    </row>
    <row r="32" spans="1:7" x14ac:dyDescent="0.25">
      <c r="B32" s="433"/>
      <c r="C32" s="439"/>
      <c r="D32" s="440"/>
      <c r="E32" s="439"/>
    </row>
    <row r="33" spans="1:1014" x14ac:dyDescent="0.25">
      <c r="A33" s="338" t="s">
        <v>289</v>
      </c>
      <c r="B33" s="339" t="s">
        <v>290</v>
      </c>
      <c r="C33" s="781" t="s">
        <v>451</v>
      </c>
      <c r="D33" s="441">
        <v>17659</v>
      </c>
      <c r="E33" s="781">
        <v>19678</v>
      </c>
    </row>
    <row r="34" spans="1:1014" x14ac:dyDescent="0.25">
      <c r="A34" s="338" t="s">
        <v>291</v>
      </c>
      <c r="B34" s="339" t="s">
        <v>292</v>
      </c>
      <c r="C34" s="781"/>
      <c r="D34" s="442">
        <v>2019</v>
      </c>
      <c r="E34" s="781"/>
    </row>
    <row r="35" spans="1:1014" x14ac:dyDescent="0.25">
      <c r="A35" s="338"/>
      <c r="B35" s="339"/>
      <c r="C35" s="443"/>
      <c r="D35" s="440"/>
      <c r="E35" s="439"/>
    </row>
    <row r="36" spans="1:1014" ht="15" customHeight="1" x14ac:dyDescent="0.25">
      <c r="A36" s="338" t="s">
        <v>301</v>
      </c>
      <c r="B36" s="339" t="s">
        <v>302</v>
      </c>
      <c r="C36" s="781" t="s">
        <v>452</v>
      </c>
      <c r="D36" s="441">
        <v>12500</v>
      </c>
      <c r="E36" s="444">
        <v>12500</v>
      </c>
    </row>
    <row r="37" spans="1:1014" x14ac:dyDescent="0.25">
      <c r="A37" s="338" t="s">
        <v>303</v>
      </c>
      <c r="B37" s="339" t="s">
        <v>304</v>
      </c>
      <c r="C37" s="781"/>
      <c r="D37" s="442">
        <v>886</v>
      </c>
      <c r="E37" s="445">
        <v>925</v>
      </c>
    </row>
    <row r="38" spans="1:1014" x14ac:dyDescent="0.25">
      <c r="C38" s="439"/>
    </row>
    <row r="39" spans="1:1014" x14ac:dyDescent="0.25">
      <c r="A39" s="338" t="s">
        <v>293</v>
      </c>
      <c r="B39" s="338" t="s">
        <v>294</v>
      </c>
      <c r="C39" s="778" t="s">
        <v>453</v>
      </c>
      <c r="D39" s="446">
        <v>65000</v>
      </c>
      <c r="E39" s="447">
        <v>65000</v>
      </c>
      <c r="F39" s="448"/>
      <c r="G39" s="3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</row>
    <row r="40" spans="1:1014" x14ac:dyDescent="0.25">
      <c r="A40" s="338" t="s">
        <v>295</v>
      </c>
      <c r="B40" s="338" t="s">
        <v>296</v>
      </c>
      <c r="C40" s="778"/>
      <c r="D40" s="449">
        <v>2575</v>
      </c>
      <c r="E40" s="450">
        <v>2575</v>
      </c>
      <c r="F40" s="448"/>
      <c r="G40" s="3"/>
      <c r="H40" s="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</row>
    <row r="41" spans="1:1014" x14ac:dyDescent="0.25">
      <c r="A41" s="338"/>
      <c r="B41" s="338"/>
      <c r="C41" s="451"/>
      <c r="D41" s="448"/>
      <c r="E41" s="452"/>
      <c r="F41" s="448"/>
      <c r="G41" s="3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</row>
    <row r="42" spans="1:1014" x14ac:dyDescent="0.25">
      <c r="A42" s="338" t="s">
        <v>297</v>
      </c>
      <c r="B42" s="338" t="s">
        <v>298</v>
      </c>
      <c r="C42" s="778" t="s">
        <v>454</v>
      </c>
      <c r="D42" s="446">
        <v>0</v>
      </c>
      <c r="E42" s="446">
        <v>60000</v>
      </c>
      <c r="F42" s="3"/>
      <c r="G42" s="45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</row>
    <row r="43" spans="1:1014" x14ac:dyDescent="0.25">
      <c r="A43" s="338" t="s">
        <v>299</v>
      </c>
      <c r="B43" s="338" t="s">
        <v>300</v>
      </c>
      <c r="C43" s="778"/>
      <c r="D43" s="449">
        <v>0</v>
      </c>
      <c r="E43" s="449">
        <v>2735</v>
      </c>
      <c r="F43" s="3"/>
      <c r="G43" s="45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</row>
  </sheetData>
  <mergeCells count="7">
    <mergeCell ref="C42:C43"/>
    <mergeCell ref="D30:D31"/>
    <mergeCell ref="E30:E31"/>
    <mergeCell ref="C33:C34"/>
    <mergeCell ref="E33:E34"/>
    <mergeCell ref="C36:C37"/>
    <mergeCell ref="C39:C40"/>
  </mergeCells>
  <pageMargins left="0.25" right="0.25" top="1.5374000000000001" bottom="1.5374000000000001" header="1.1436999999999999" footer="1.14369999999999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MJ72"/>
  <sheetViews>
    <sheetView workbookViewId="0"/>
  </sheetViews>
  <sheetFormatPr defaultRowHeight="14.25" x14ac:dyDescent="0.2"/>
  <cols>
    <col min="1" max="1" width="8.75" customWidth="1"/>
    <col min="2" max="2" width="13.875" customWidth="1"/>
    <col min="3" max="3" width="23.25" style="454" customWidth="1"/>
    <col min="4" max="1024" width="8.75" customWidth="1"/>
  </cols>
  <sheetData>
    <row r="5" spans="1:1024" x14ac:dyDescent="0.2">
      <c r="A5" s="3"/>
      <c r="B5" s="782" t="s">
        <v>455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3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</row>
    <row r="6" spans="1:1024" x14ac:dyDescent="0.2">
      <c r="A6" s="3"/>
      <c r="B6" s="6"/>
      <c r="C6" s="6"/>
      <c r="D6" s="751">
        <v>2017</v>
      </c>
      <c r="E6" s="751"/>
      <c r="F6" s="455">
        <v>2018</v>
      </c>
      <c r="G6" s="6"/>
      <c r="H6" s="6"/>
      <c r="I6" s="2"/>
      <c r="J6" s="2"/>
      <c r="K6" s="2"/>
      <c r="L6" s="2"/>
      <c r="M6" s="2"/>
      <c r="N6" s="2"/>
      <c r="O6" s="2"/>
      <c r="P6" s="3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</row>
    <row r="7" spans="1:1024" x14ac:dyDescent="0.2">
      <c r="A7" s="3"/>
      <c r="B7" s="6"/>
      <c r="C7" s="456"/>
      <c r="D7" s="457" t="s">
        <v>456</v>
      </c>
      <c r="E7" s="458" t="s">
        <v>8</v>
      </c>
      <c r="F7" s="459" t="s">
        <v>6</v>
      </c>
      <c r="G7" s="6"/>
      <c r="H7" s="6"/>
      <c r="I7" s="2"/>
      <c r="J7" s="2"/>
      <c r="K7" s="2"/>
      <c r="L7" s="2"/>
      <c r="M7" s="2"/>
      <c r="N7" s="2"/>
      <c r="O7" s="2"/>
      <c r="P7" s="3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</row>
    <row r="8" spans="1:1024" x14ac:dyDescent="0.2">
      <c r="A8" s="3"/>
      <c r="B8" s="6" t="s">
        <v>457</v>
      </c>
      <c r="C8" s="456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3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</row>
    <row r="9" spans="1:1024" x14ac:dyDescent="0.2">
      <c r="A9" s="3"/>
      <c r="B9" s="6" t="s">
        <v>458</v>
      </c>
      <c r="C9" s="456" t="s">
        <v>459</v>
      </c>
      <c r="D9" s="6">
        <v>0</v>
      </c>
      <c r="E9" s="6">
        <v>0</v>
      </c>
      <c r="F9" s="6">
        <v>0</v>
      </c>
      <c r="G9" s="6"/>
      <c r="H9" s="6"/>
      <c r="I9" s="2"/>
      <c r="J9" s="2"/>
      <c r="K9" s="2"/>
      <c r="L9" s="2"/>
      <c r="M9" s="2"/>
      <c r="N9" s="2"/>
      <c r="O9" s="2"/>
      <c r="P9" s="3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</row>
    <row r="10" spans="1:1024" x14ac:dyDescent="0.2">
      <c r="A10" s="3"/>
      <c r="B10" s="6" t="s">
        <v>460</v>
      </c>
      <c r="C10" s="456" t="s">
        <v>461</v>
      </c>
      <c r="D10" s="6">
        <v>10</v>
      </c>
      <c r="E10" s="6">
        <v>12</v>
      </c>
      <c r="F10" s="6">
        <v>20</v>
      </c>
      <c r="G10" s="6"/>
      <c r="H10" s="6"/>
      <c r="I10" s="2"/>
      <c r="J10" s="2"/>
      <c r="K10" s="2"/>
      <c r="L10" s="2"/>
      <c r="M10" s="2"/>
      <c r="N10" s="2"/>
      <c r="O10" s="2"/>
      <c r="P10" s="3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</row>
    <row r="11" spans="1:1024" x14ac:dyDescent="0.2">
      <c r="A11" s="3"/>
      <c r="B11" s="6" t="s">
        <v>462</v>
      </c>
      <c r="C11" s="456" t="s">
        <v>463</v>
      </c>
      <c r="D11" s="6">
        <v>0</v>
      </c>
      <c r="E11" s="6">
        <v>0</v>
      </c>
      <c r="F11" s="6">
        <v>0</v>
      </c>
      <c r="G11" s="6"/>
      <c r="H11" s="6"/>
      <c r="I11" s="2"/>
      <c r="J11" s="2"/>
      <c r="K11" s="2"/>
      <c r="L11" s="2"/>
      <c r="M11" s="2"/>
      <c r="N11" s="2"/>
      <c r="O11" s="2"/>
      <c r="P11" s="3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</row>
    <row r="12" spans="1:1024" ht="15" x14ac:dyDescent="0.25">
      <c r="A12" s="143"/>
      <c r="B12" s="460"/>
      <c r="C12" s="110" t="s">
        <v>339</v>
      </c>
      <c r="D12" s="460">
        <f>SUM(D9:D11)</f>
        <v>10</v>
      </c>
      <c r="E12" s="460">
        <f>SUM(E9:E11)</f>
        <v>12</v>
      </c>
      <c r="F12" s="460">
        <f>SUM(F9:F11)</f>
        <v>20</v>
      </c>
      <c r="G12" s="460"/>
      <c r="H12" s="460"/>
      <c r="I12" s="461"/>
      <c r="J12" s="461"/>
      <c r="K12" s="461"/>
      <c r="L12" s="461"/>
      <c r="M12" s="461"/>
      <c r="N12" s="461"/>
      <c r="O12" s="461"/>
      <c r="P12" s="143"/>
      <c r="Q12" s="144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  <c r="IW12" s="145"/>
      <c r="IX12" s="145"/>
      <c r="IY12" s="145"/>
      <c r="IZ12" s="145"/>
      <c r="JA12" s="145"/>
      <c r="JB12" s="145"/>
      <c r="JC12" s="145"/>
      <c r="JD12" s="145"/>
      <c r="JE12" s="145"/>
      <c r="JF12" s="145"/>
      <c r="JG12" s="145"/>
      <c r="JH12" s="145"/>
      <c r="JI12" s="145"/>
      <c r="JJ12" s="145"/>
      <c r="JK12" s="145"/>
      <c r="JL12" s="145"/>
      <c r="JM12" s="145"/>
      <c r="JN12" s="145"/>
      <c r="JO12" s="145"/>
      <c r="JP12" s="145"/>
      <c r="JQ12" s="145"/>
      <c r="JR12" s="145"/>
      <c r="JS12" s="145"/>
      <c r="JT12" s="145"/>
      <c r="JU12" s="145"/>
      <c r="JV12" s="145"/>
      <c r="JW12" s="145"/>
      <c r="JX12" s="145"/>
      <c r="JY12" s="145"/>
      <c r="JZ12" s="145"/>
      <c r="KA12" s="145"/>
      <c r="KB12" s="145"/>
      <c r="KC12" s="145"/>
      <c r="KD12" s="145"/>
      <c r="KE12" s="145"/>
      <c r="KF12" s="145"/>
      <c r="KG12" s="145"/>
      <c r="KH12" s="145"/>
      <c r="KI12" s="145"/>
      <c r="KJ12" s="145"/>
      <c r="KK12" s="145"/>
      <c r="KL12" s="145"/>
      <c r="KM12" s="145"/>
      <c r="KN12" s="145"/>
      <c r="KO12" s="145"/>
      <c r="KP12" s="145"/>
      <c r="KQ12" s="145"/>
      <c r="KR12" s="145"/>
      <c r="KS12" s="145"/>
      <c r="KT12" s="145"/>
      <c r="KU12" s="145"/>
      <c r="KV12" s="145"/>
      <c r="KW12" s="145"/>
      <c r="KX12" s="145"/>
      <c r="KY12" s="145"/>
      <c r="KZ12" s="145"/>
      <c r="LA12" s="145"/>
      <c r="LB12" s="145"/>
      <c r="LC12" s="145"/>
      <c r="LD12" s="145"/>
      <c r="LE12" s="145"/>
      <c r="LF12" s="145"/>
      <c r="LG12" s="145"/>
      <c r="LH12" s="145"/>
      <c r="LI12" s="145"/>
      <c r="LJ12" s="145"/>
      <c r="LK12" s="145"/>
      <c r="LL12" s="145"/>
      <c r="LM12" s="145"/>
      <c r="LN12" s="145"/>
      <c r="LO12" s="145"/>
      <c r="LP12" s="145"/>
      <c r="LQ12" s="145"/>
      <c r="LR12" s="145"/>
      <c r="LS12" s="145"/>
      <c r="LT12" s="145"/>
      <c r="LU12" s="145"/>
      <c r="LV12" s="145"/>
      <c r="LW12" s="145"/>
      <c r="LX12" s="145"/>
      <c r="LY12" s="145"/>
      <c r="LZ12" s="145"/>
      <c r="MA12" s="145"/>
      <c r="MB12" s="145"/>
      <c r="MC12" s="145"/>
      <c r="MD12" s="145"/>
      <c r="ME12" s="145"/>
      <c r="MF12" s="145"/>
      <c r="MG12" s="145"/>
      <c r="MH12" s="145"/>
      <c r="MI12" s="145"/>
      <c r="MJ12" s="145"/>
      <c r="MK12" s="145"/>
      <c r="ML12" s="145"/>
      <c r="MM12" s="145"/>
      <c r="MN12" s="145"/>
      <c r="MO12" s="145"/>
      <c r="MP12" s="145"/>
      <c r="MQ12" s="145"/>
      <c r="MR12" s="145"/>
      <c r="MS12" s="145"/>
      <c r="MT12" s="145"/>
      <c r="MU12" s="145"/>
      <c r="MV12" s="145"/>
      <c r="MW12" s="145"/>
      <c r="MX12" s="145"/>
      <c r="MY12" s="145"/>
      <c r="MZ12" s="145"/>
      <c r="NA12" s="145"/>
      <c r="NB12" s="145"/>
      <c r="NC12" s="145"/>
      <c r="ND12" s="145"/>
      <c r="NE12" s="145"/>
      <c r="NF12" s="145"/>
      <c r="NG12" s="145"/>
      <c r="NH12" s="145"/>
      <c r="NI12" s="145"/>
      <c r="NJ12" s="145"/>
      <c r="NK12" s="145"/>
      <c r="NL12" s="145"/>
      <c r="NM12" s="145"/>
      <c r="NN12" s="145"/>
      <c r="NO12" s="145"/>
      <c r="NP12" s="145"/>
      <c r="NQ12" s="145"/>
      <c r="NR12" s="145"/>
      <c r="NS12" s="145"/>
      <c r="NT12" s="145"/>
      <c r="NU12" s="145"/>
      <c r="NV12" s="145"/>
      <c r="NW12" s="145"/>
      <c r="NX12" s="145"/>
      <c r="NY12" s="145"/>
      <c r="NZ12" s="145"/>
      <c r="OA12" s="145"/>
      <c r="OB12" s="145"/>
      <c r="OC12" s="145"/>
      <c r="OD12" s="145"/>
      <c r="OE12" s="145"/>
      <c r="OF12" s="145"/>
      <c r="OG12" s="145"/>
      <c r="OH12" s="145"/>
      <c r="OI12" s="145"/>
      <c r="OJ12" s="145"/>
      <c r="OK12" s="145"/>
      <c r="OL12" s="145"/>
      <c r="OM12" s="145"/>
      <c r="ON12" s="145"/>
      <c r="OO12" s="145"/>
      <c r="OP12" s="145"/>
      <c r="OQ12" s="145"/>
      <c r="OR12" s="145"/>
      <c r="OS12" s="145"/>
      <c r="OT12" s="145"/>
      <c r="OU12" s="145"/>
      <c r="OV12" s="145"/>
      <c r="OW12" s="145"/>
      <c r="OX12" s="145"/>
      <c r="OY12" s="145"/>
      <c r="OZ12" s="145"/>
      <c r="PA12" s="145"/>
      <c r="PB12" s="145"/>
      <c r="PC12" s="145"/>
      <c r="PD12" s="145"/>
      <c r="PE12" s="145"/>
      <c r="PF12" s="145"/>
      <c r="PG12" s="145"/>
      <c r="PH12" s="145"/>
      <c r="PI12" s="145"/>
      <c r="PJ12" s="145"/>
      <c r="PK12" s="145"/>
      <c r="PL12" s="145"/>
      <c r="PM12" s="145"/>
      <c r="PN12" s="145"/>
      <c r="PO12" s="145"/>
      <c r="PP12" s="145"/>
      <c r="PQ12" s="145"/>
      <c r="PR12" s="145"/>
      <c r="PS12" s="145"/>
      <c r="PT12" s="145"/>
      <c r="PU12" s="145"/>
      <c r="PV12" s="145"/>
      <c r="PW12" s="145"/>
      <c r="PX12" s="145"/>
      <c r="PY12" s="145"/>
      <c r="PZ12" s="145"/>
      <c r="QA12" s="145"/>
      <c r="QB12" s="145"/>
      <c r="QC12" s="145"/>
      <c r="QD12" s="145"/>
      <c r="QE12" s="145"/>
      <c r="QF12" s="145"/>
      <c r="QG12" s="145"/>
      <c r="QH12" s="145"/>
      <c r="QI12" s="145"/>
      <c r="QJ12" s="145"/>
      <c r="QK12" s="145"/>
      <c r="QL12" s="145"/>
      <c r="QM12" s="145"/>
      <c r="QN12" s="145"/>
      <c r="QO12" s="145"/>
      <c r="QP12" s="145"/>
      <c r="QQ12" s="145"/>
      <c r="QR12" s="145"/>
      <c r="QS12" s="145"/>
      <c r="QT12" s="145"/>
      <c r="QU12" s="145"/>
      <c r="QV12" s="145"/>
      <c r="QW12" s="145"/>
      <c r="QX12" s="145"/>
      <c r="QY12" s="145"/>
      <c r="QZ12" s="145"/>
      <c r="RA12" s="145"/>
      <c r="RB12" s="145"/>
      <c r="RC12" s="145"/>
      <c r="RD12" s="145"/>
      <c r="RE12" s="145"/>
      <c r="RF12" s="145"/>
      <c r="RG12" s="145"/>
      <c r="RH12" s="145"/>
      <c r="RI12" s="145"/>
      <c r="RJ12" s="145"/>
      <c r="RK12" s="145"/>
      <c r="RL12" s="145"/>
      <c r="RM12" s="145"/>
      <c r="RN12" s="145"/>
      <c r="RO12" s="145"/>
      <c r="RP12" s="145"/>
      <c r="RQ12" s="145"/>
      <c r="RR12" s="145"/>
      <c r="RS12" s="145"/>
      <c r="RT12" s="145"/>
      <c r="RU12" s="145"/>
      <c r="RV12" s="145"/>
      <c r="RW12" s="145"/>
      <c r="RX12" s="145"/>
      <c r="RY12" s="145"/>
      <c r="RZ12" s="145"/>
      <c r="SA12" s="145"/>
      <c r="SB12" s="145"/>
      <c r="SC12" s="145"/>
      <c r="SD12" s="145"/>
      <c r="SE12" s="145"/>
      <c r="SF12" s="145"/>
      <c r="SG12" s="145"/>
      <c r="SH12" s="145"/>
      <c r="SI12" s="145"/>
      <c r="SJ12" s="145"/>
      <c r="SK12" s="145"/>
      <c r="SL12" s="145"/>
      <c r="SM12" s="145"/>
      <c r="SN12" s="145"/>
      <c r="SO12" s="145"/>
      <c r="SP12" s="145"/>
      <c r="SQ12" s="145"/>
      <c r="SR12" s="145"/>
      <c r="SS12" s="145"/>
      <c r="ST12" s="145"/>
      <c r="SU12" s="145"/>
      <c r="SV12" s="145"/>
      <c r="SW12" s="145"/>
      <c r="SX12" s="145"/>
      <c r="SY12" s="145"/>
      <c r="SZ12" s="145"/>
      <c r="TA12" s="145"/>
      <c r="TB12" s="145"/>
      <c r="TC12" s="145"/>
      <c r="TD12" s="145"/>
      <c r="TE12" s="145"/>
      <c r="TF12" s="145"/>
      <c r="TG12" s="145"/>
      <c r="TH12" s="145"/>
      <c r="TI12" s="145"/>
      <c r="TJ12" s="145"/>
      <c r="TK12" s="145"/>
      <c r="TL12" s="145"/>
      <c r="TM12" s="145"/>
      <c r="TN12" s="145"/>
      <c r="TO12" s="145"/>
      <c r="TP12" s="145"/>
      <c r="TQ12" s="145"/>
      <c r="TR12" s="145"/>
      <c r="TS12" s="145"/>
      <c r="TT12" s="145"/>
      <c r="TU12" s="145"/>
      <c r="TV12" s="145"/>
      <c r="TW12" s="145"/>
      <c r="TX12" s="145"/>
      <c r="TY12" s="145"/>
      <c r="TZ12" s="145"/>
      <c r="UA12" s="145"/>
      <c r="UB12" s="145"/>
      <c r="UC12" s="145"/>
      <c r="UD12" s="145"/>
      <c r="UE12" s="145"/>
      <c r="UF12" s="145"/>
      <c r="UG12" s="145"/>
      <c r="UH12" s="145"/>
      <c r="UI12" s="145"/>
      <c r="UJ12" s="145"/>
      <c r="UK12" s="145"/>
      <c r="UL12" s="145"/>
      <c r="UM12" s="145"/>
      <c r="UN12" s="145"/>
      <c r="UO12" s="145"/>
      <c r="UP12" s="145"/>
      <c r="UQ12" s="145"/>
      <c r="UR12" s="145"/>
      <c r="US12" s="145"/>
      <c r="UT12" s="145"/>
      <c r="UU12" s="145"/>
      <c r="UV12" s="145"/>
      <c r="UW12" s="145"/>
      <c r="UX12" s="145"/>
      <c r="UY12" s="145"/>
      <c r="UZ12" s="145"/>
      <c r="VA12" s="145"/>
      <c r="VB12" s="145"/>
      <c r="VC12" s="145"/>
      <c r="VD12" s="145"/>
      <c r="VE12" s="145"/>
      <c r="VF12" s="145"/>
      <c r="VG12" s="145"/>
      <c r="VH12" s="145"/>
      <c r="VI12" s="145"/>
      <c r="VJ12" s="145"/>
      <c r="VK12" s="145"/>
      <c r="VL12" s="145"/>
      <c r="VM12" s="145"/>
      <c r="VN12" s="145"/>
      <c r="VO12" s="145"/>
      <c r="VP12" s="145"/>
      <c r="VQ12" s="145"/>
      <c r="VR12" s="145"/>
      <c r="VS12" s="145"/>
      <c r="VT12" s="145"/>
      <c r="VU12" s="145"/>
      <c r="VV12" s="145"/>
      <c r="VW12" s="145"/>
      <c r="VX12" s="145"/>
      <c r="VY12" s="145"/>
      <c r="VZ12" s="145"/>
      <c r="WA12" s="145"/>
      <c r="WB12" s="145"/>
      <c r="WC12" s="145"/>
      <c r="WD12" s="145"/>
      <c r="WE12" s="145"/>
      <c r="WF12" s="145"/>
      <c r="WG12" s="145"/>
      <c r="WH12" s="145"/>
      <c r="WI12" s="145"/>
      <c r="WJ12" s="145"/>
      <c r="WK12" s="145"/>
      <c r="WL12" s="145"/>
      <c r="WM12" s="145"/>
      <c r="WN12" s="145"/>
      <c r="WO12" s="145"/>
      <c r="WP12" s="145"/>
      <c r="WQ12" s="145"/>
      <c r="WR12" s="145"/>
      <c r="WS12" s="145"/>
      <c r="WT12" s="145"/>
      <c r="WU12" s="145"/>
      <c r="WV12" s="145"/>
      <c r="WW12" s="145"/>
      <c r="WX12" s="145"/>
      <c r="WY12" s="145"/>
      <c r="WZ12" s="145"/>
      <c r="XA12" s="145"/>
      <c r="XB12" s="145"/>
      <c r="XC12" s="145"/>
      <c r="XD12" s="145"/>
      <c r="XE12" s="145"/>
      <c r="XF12" s="145"/>
      <c r="XG12" s="145"/>
      <c r="XH12" s="145"/>
      <c r="XI12" s="145"/>
      <c r="XJ12" s="145"/>
      <c r="XK12" s="145"/>
      <c r="XL12" s="145"/>
      <c r="XM12" s="145"/>
      <c r="XN12" s="145"/>
      <c r="XO12" s="145"/>
      <c r="XP12" s="145"/>
      <c r="XQ12" s="145"/>
      <c r="XR12" s="145"/>
      <c r="XS12" s="145"/>
      <c r="XT12" s="145"/>
      <c r="XU12" s="145"/>
      <c r="XV12" s="145"/>
      <c r="XW12" s="145"/>
      <c r="XX12" s="145"/>
      <c r="XY12" s="145"/>
      <c r="XZ12" s="145"/>
      <c r="YA12" s="145"/>
      <c r="YB12" s="145"/>
      <c r="YC12" s="145"/>
      <c r="YD12" s="145"/>
      <c r="YE12" s="145"/>
      <c r="YF12" s="145"/>
      <c r="YG12" s="145"/>
      <c r="YH12" s="145"/>
      <c r="YI12" s="145"/>
      <c r="YJ12" s="145"/>
      <c r="YK12" s="145"/>
      <c r="YL12" s="145"/>
      <c r="YM12" s="145"/>
      <c r="YN12" s="145"/>
      <c r="YO12" s="145"/>
      <c r="YP12" s="145"/>
      <c r="YQ12" s="145"/>
      <c r="YR12" s="145"/>
      <c r="YS12" s="145"/>
      <c r="YT12" s="145"/>
      <c r="YU12" s="145"/>
      <c r="YV12" s="145"/>
      <c r="YW12" s="145"/>
      <c r="YX12" s="145"/>
      <c r="YY12" s="145"/>
      <c r="YZ12" s="145"/>
      <c r="ZA12" s="145"/>
      <c r="ZB12" s="145"/>
      <c r="ZC12" s="145"/>
      <c r="ZD12" s="145"/>
      <c r="ZE12" s="145"/>
      <c r="ZF12" s="145"/>
      <c r="ZG12" s="145"/>
      <c r="ZH12" s="145"/>
      <c r="ZI12" s="145"/>
      <c r="ZJ12" s="145"/>
      <c r="ZK12" s="145"/>
      <c r="ZL12" s="145"/>
      <c r="ZM12" s="145"/>
      <c r="ZN12" s="145"/>
      <c r="ZO12" s="145"/>
      <c r="ZP12" s="145"/>
      <c r="ZQ12" s="145"/>
      <c r="ZR12" s="145"/>
      <c r="ZS12" s="145"/>
      <c r="ZT12" s="145"/>
      <c r="ZU12" s="145"/>
      <c r="ZV12" s="145"/>
      <c r="ZW12" s="145"/>
      <c r="ZX12" s="145"/>
      <c r="ZY12" s="145"/>
      <c r="ZZ12" s="145"/>
      <c r="AAA12" s="145"/>
      <c r="AAB12" s="145"/>
      <c r="AAC12" s="145"/>
      <c r="AAD12" s="145"/>
      <c r="AAE12" s="145"/>
      <c r="AAF12" s="145"/>
      <c r="AAG12" s="145"/>
      <c r="AAH12" s="145"/>
      <c r="AAI12" s="145"/>
      <c r="AAJ12" s="145"/>
      <c r="AAK12" s="145"/>
      <c r="AAL12" s="145"/>
      <c r="AAM12" s="145"/>
      <c r="AAN12" s="145"/>
      <c r="AAO12" s="145"/>
      <c r="AAP12" s="145"/>
      <c r="AAQ12" s="145"/>
      <c r="AAR12" s="145"/>
      <c r="AAS12" s="145"/>
      <c r="AAT12" s="145"/>
      <c r="AAU12" s="145"/>
      <c r="AAV12" s="145"/>
      <c r="AAW12" s="145"/>
      <c r="AAX12" s="145"/>
      <c r="AAY12" s="145"/>
      <c r="AAZ12" s="145"/>
      <c r="ABA12" s="145"/>
      <c r="ABB12" s="145"/>
      <c r="ABC12" s="145"/>
      <c r="ABD12" s="145"/>
      <c r="ABE12" s="145"/>
      <c r="ABF12" s="145"/>
      <c r="ABG12" s="145"/>
      <c r="ABH12" s="145"/>
      <c r="ABI12" s="145"/>
      <c r="ABJ12" s="145"/>
      <c r="ABK12" s="145"/>
      <c r="ABL12" s="145"/>
      <c r="ABM12" s="145"/>
      <c r="ABN12" s="145"/>
      <c r="ABO12" s="145"/>
      <c r="ABP12" s="145"/>
      <c r="ABQ12" s="145"/>
      <c r="ABR12" s="145"/>
      <c r="ABS12" s="145"/>
      <c r="ABT12" s="145"/>
      <c r="ABU12" s="145"/>
      <c r="ABV12" s="145"/>
      <c r="ABW12" s="145"/>
      <c r="ABX12" s="145"/>
      <c r="ABY12" s="145"/>
      <c r="ABZ12" s="145"/>
      <c r="ACA12" s="145"/>
      <c r="ACB12" s="145"/>
      <c r="ACC12" s="145"/>
      <c r="ACD12" s="145"/>
      <c r="ACE12" s="145"/>
      <c r="ACF12" s="145"/>
      <c r="ACG12" s="145"/>
      <c r="ACH12" s="145"/>
      <c r="ACI12" s="145"/>
      <c r="ACJ12" s="145"/>
      <c r="ACK12" s="145"/>
      <c r="ACL12" s="145"/>
      <c r="ACM12" s="145"/>
      <c r="ACN12" s="145"/>
      <c r="ACO12" s="145"/>
      <c r="ACP12" s="145"/>
      <c r="ACQ12" s="145"/>
      <c r="ACR12" s="145"/>
      <c r="ACS12" s="145"/>
      <c r="ACT12" s="145"/>
      <c r="ACU12" s="145"/>
      <c r="ACV12" s="145"/>
      <c r="ACW12" s="145"/>
      <c r="ACX12" s="145"/>
      <c r="ACY12" s="145"/>
      <c r="ACZ12" s="145"/>
      <c r="ADA12" s="145"/>
      <c r="ADB12" s="145"/>
      <c r="ADC12" s="145"/>
      <c r="ADD12" s="145"/>
      <c r="ADE12" s="145"/>
      <c r="ADF12" s="145"/>
      <c r="ADG12" s="145"/>
      <c r="ADH12" s="145"/>
      <c r="ADI12" s="145"/>
      <c r="ADJ12" s="145"/>
      <c r="ADK12" s="145"/>
      <c r="ADL12" s="145"/>
      <c r="ADM12" s="145"/>
      <c r="ADN12" s="145"/>
      <c r="ADO12" s="145"/>
      <c r="ADP12" s="145"/>
      <c r="ADQ12" s="145"/>
      <c r="ADR12" s="145"/>
      <c r="ADS12" s="145"/>
      <c r="ADT12" s="145"/>
      <c r="ADU12" s="145"/>
      <c r="ADV12" s="145"/>
      <c r="ADW12" s="145"/>
      <c r="ADX12" s="145"/>
      <c r="ADY12" s="145"/>
      <c r="ADZ12" s="145"/>
      <c r="AEA12" s="145"/>
      <c r="AEB12" s="145"/>
      <c r="AEC12" s="145"/>
      <c r="AED12" s="145"/>
      <c r="AEE12" s="145"/>
      <c r="AEF12" s="145"/>
      <c r="AEG12" s="145"/>
      <c r="AEH12" s="145"/>
      <c r="AEI12" s="145"/>
      <c r="AEJ12" s="145"/>
      <c r="AEK12" s="145"/>
      <c r="AEL12" s="145"/>
      <c r="AEM12" s="145"/>
      <c r="AEN12" s="145"/>
      <c r="AEO12" s="145"/>
      <c r="AEP12" s="145"/>
      <c r="AEQ12" s="145"/>
      <c r="AER12" s="145"/>
      <c r="AES12" s="145"/>
      <c r="AET12" s="145"/>
      <c r="AEU12" s="145"/>
      <c r="AEV12" s="145"/>
      <c r="AEW12" s="145"/>
      <c r="AEX12" s="145"/>
      <c r="AEY12" s="145"/>
      <c r="AEZ12" s="145"/>
      <c r="AFA12" s="145"/>
      <c r="AFB12" s="145"/>
      <c r="AFC12" s="145"/>
      <c r="AFD12" s="145"/>
      <c r="AFE12" s="145"/>
      <c r="AFF12" s="145"/>
      <c r="AFG12" s="145"/>
      <c r="AFH12" s="145"/>
      <c r="AFI12" s="145"/>
      <c r="AFJ12" s="145"/>
      <c r="AFK12" s="145"/>
      <c r="AFL12" s="145"/>
      <c r="AFM12" s="145"/>
      <c r="AFN12" s="145"/>
      <c r="AFO12" s="145"/>
      <c r="AFP12" s="145"/>
      <c r="AFQ12" s="145"/>
      <c r="AFR12" s="145"/>
      <c r="AFS12" s="145"/>
      <c r="AFT12" s="145"/>
      <c r="AFU12" s="145"/>
      <c r="AFV12" s="145"/>
      <c r="AFW12" s="145"/>
      <c r="AFX12" s="145"/>
      <c r="AFY12" s="145"/>
      <c r="AFZ12" s="145"/>
      <c r="AGA12" s="145"/>
      <c r="AGB12" s="145"/>
      <c r="AGC12" s="145"/>
      <c r="AGD12" s="145"/>
      <c r="AGE12" s="145"/>
      <c r="AGF12" s="145"/>
      <c r="AGG12" s="145"/>
      <c r="AGH12" s="145"/>
      <c r="AGI12" s="145"/>
      <c r="AGJ12" s="145"/>
      <c r="AGK12" s="145"/>
      <c r="AGL12" s="145"/>
      <c r="AGM12" s="145"/>
      <c r="AGN12" s="145"/>
      <c r="AGO12" s="145"/>
      <c r="AGP12" s="145"/>
      <c r="AGQ12" s="145"/>
      <c r="AGR12" s="145"/>
      <c r="AGS12" s="145"/>
      <c r="AGT12" s="145"/>
      <c r="AGU12" s="145"/>
      <c r="AGV12" s="145"/>
      <c r="AGW12" s="145"/>
      <c r="AGX12" s="145"/>
      <c r="AGY12" s="145"/>
      <c r="AGZ12" s="145"/>
      <c r="AHA12" s="145"/>
      <c r="AHB12" s="145"/>
      <c r="AHC12" s="145"/>
      <c r="AHD12" s="145"/>
      <c r="AHE12" s="145"/>
      <c r="AHF12" s="145"/>
      <c r="AHG12" s="145"/>
      <c r="AHH12" s="145"/>
      <c r="AHI12" s="145"/>
      <c r="AHJ12" s="145"/>
      <c r="AHK12" s="145"/>
      <c r="AHL12" s="145"/>
      <c r="AHM12" s="145"/>
      <c r="AHN12" s="145"/>
      <c r="AHO12" s="145"/>
      <c r="AHP12" s="145"/>
      <c r="AHQ12" s="145"/>
      <c r="AHR12" s="145"/>
      <c r="AHS12" s="145"/>
      <c r="AHT12" s="145"/>
      <c r="AHU12" s="145"/>
      <c r="AHV12" s="145"/>
      <c r="AHW12" s="145"/>
      <c r="AHX12" s="145"/>
      <c r="AHY12" s="145"/>
      <c r="AHZ12" s="145"/>
      <c r="AIA12" s="145"/>
      <c r="AIB12" s="145"/>
      <c r="AIC12" s="145"/>
      <c r="AID12" s="145"/>
      <c r="AIE12" s="145"/>
      <c r="AIF12" s="145"/>
      <c r="AIG12" s="145"/>
      <c r="AIH12" s="145"/>
      <c r="AII12" s="145"/>
      <c r="AIJ12" s="145"/>
      <c r="AIK12" s="145"/>
      <c r="AIL12" s="145"/>
      <c r="AIM12" s="145"/>
      <c r="AIN12" s="145"/>
      <c r="AIO12" s="145"/>
      <c r="AIP12" s="145"/>
      <c r="AIQ12" s="145"/>
      <c r="AIR12" s="145"/>
      <c r="AIS12" s="145"/>
      <c r="AIT12" s="145"/>
      <c r="AIU12" s="145"/>
      <c r="AIV12" s="145"/>
      <c r="AIW12" s="145"/>
      <c r="AIX12" s="145"/>
      <c r="AIY12" s="145"/>
      <c r="AIZ12" s="145"/>
      <c r="AJA12" s="145"/>
      <c r="AJB12" s="145"/>
      <c r="AJC12" s="145"/>
      <c r="AJD12" s="145"/>
      <c r="AJE12" s="145"/>
      <c r="AJF12" s="145"/>
      <c r="AJG12" s="145"/>
      <c r="AJH12" s="145"/>
      <c r="AJI12" s="145"/>
      <c r="AJJ12" s="145"/>
      <c r="AJK12" s="145"/>
      <c r="AJL12" s="145"/>
      <c r="AJM12" s="145"/>
      <c r="AJN12" s="145"/>
      <c r="AJO12" s="145"/>
      <c r="AJP12" s="145"/>
      <c r="AJQ12" s="145"/>
      <c r="AJR12" s="145"/>
      <c r="AJS12" s="145"/>
      <c r="AJT12" s="145"/>
      <c r="AJU12" s="145"/>
      <c r="AJV12" s="145"/>
      <c r="AJW12" s="145"/>
      <c r="AJX12" s="145"/>
      <c r="AJY12" s="145"/>
      <c r="AJZ12" s="145"/>
      <c r="AKA12" s="145"/>
      <c r="AKB12" s="145"/>
      <c r="AKC12" s="145"/>
      <c r="AKD12" s="145"/>
      <c r="AKE12" s="145"/>
      <c r="AKF12" s="145"/>
      <c r="AKG12" s="145"/>
      <c r="AKH12" s="145"/>
      <c r="AKI12" s="145"/>
      <c r="AKJ12" s="145"/>
      <c r="AKK12" s="145"/>
      <c r="AKL12" s="145"/>
      <c r="AKM12" s="145"/>
      <c r="AKN12" s="145"/>
      <c r="AKO12" s="145"/>
      <c r="AKP12" s="145"/>
      <c r="AKQ12" s="145"/>
      <c r="AKR12" s="145"/>
      <c r="AKS12" s="145"/>
      <c r="AKT12" s="145"/>
      <c r="AKU12" s="145"/>
      <c r="AKV12" s="145"/>
      <c r="AKW12" s="145"/>
      <c r="AKX12" s="145"/>
      <c r="AKY12" s="145"/>
      <c r="AKZ12" s="145"/>
      <c r="ALA12" s="145"/>
      <c r="ALB12" s="145"/>
      <c r="ALC12" s="145"/>
      <c r="ALD12" s="145"/>
      <c r="ALE12" s="145"/>
      <c r="ALF12" s="145"/>
      <c r="ALG12" s="145"/>
      <c r="ALH12" s="145"/>
      <c r="ALI12" s="145"/>
      <c r="ALJ12" s="145"/>
      <c r="ALK12" s="145"/>
      <c r="ALL12" s="145"/>
      <c r="ALM12" s="145"/>
      <c r="ALN12" s="145"/>
      <c r="ALO12" s="145"/>
      <c r="ALP12" s="145"/>
      <c r="ALQ12" s="145"/>
      <c r="ALR12" s="145"/>
      <c r="ALS12" s="145"/>
      <c r="ALT12" s="145"/>
      <c r="ALU12" s="145"/>
      <c r="ALV12" s="145"/>
      <c r="ALW12" s="145"/>
      <c r="ALX12" s="145"/>
      <c r="ALY12" s="145"/>
      <c r="ALZ12" s="145"/>
      <c r="AMA12" s="145"/>
      <c r="AMB12" s="145"/>
      <c r="AMC12" s="145"/>
      <c r="AMD12" s="145"/>
      <c r="AME12" s="145"/>
      <c r="AMF12" s="145"/>
      <c r="AMG12" s="145"/>
      <c r="AMH12" s="145"/>
      <c r="AMI12" s="145"/>
      <c r="AMJ12" s="462"/>
    </row>
    <row r="13" spans="1:1024" x14ac:dyDescent="0.2">
      <c r="A13" s="3"/>
      <c r="B13" s="6"/>
      <c r="C13" s="456"/>
      <c r="D13" s="6"/>
      <c r="E13" s="6"/>
      <c r="F13" s="6"/>
      <c r="G13" s="6"/>
      <c r="H13" s="6"/>
      <c r="I13" s="2"/>
      <c r="J13" s="2"/>
      <c r="K13" s="2"/>
      <c r="L13" s="2"/>
      <c r="M13" s="2"/>
      <c r="N13" s="2"/>
      <c r="O13" s="2"/>
      <c r="P13" s="3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</row>
    <row r="14" spans="1:1024" x14ac:dyDescent="0.2">
      <c r="A14" s="3"/>
      <c r="B14" s="6" t="s">
        <v>112</v>
      </c>
      <c r="C14" s="456"/>
      <c r="D14" s="6"/>
      <c r="E14" s="6"/>
      <c r="F14" s="6"/>
      <c r="G14" s="6"/>
      <c r="H14" s="6"/>
      <c r="I14" s="2"/>
      <c r="J14" s="2"/>
      <c r="K14" s="2"/>
      <c r="L14" s="2"/>
      <c r="M14" s="2"/>
      <c r="N14" s="2"/>
      <c r="O14" s="2"/>
      <c r="P14" s="3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</row>
    <row r="15" spans="1:1024" x14ac:dyDescent="0.2">
      <c r="A15" s="3"/>
      <c r="B15" s="6" t="s">
        <v>464</v>
      </c>
      <c r="C15" s="456" t="s">
        <v>465</v>
      </c>
      <c r="D15" s="6">
        <v>0</v>
      </c>
      <c r="E15" s="6">
        <v>0</v>
      </c>
      <c r="F15" s="6">
        <v>0</v>
      </c>
      <c r="G15" s="6"/>
      <c r="H15" s="6"/>
      <c r="I15" s="2"/>
      <c r="J15" s="2"/>
      <c r="K15" s="2"/>
      <c r="L15" s="2"/>
      <c r="M15" s="2"/>
      <c r="N15" s="2"/>
      <c r="O15" s="2"/>
      <c r="P15" s="3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</row>
    <row r="16" spans="1:1024" x14ac:dyDescent="0.2">
      <c r="A16" s="3"/>
      <c r="B16" s="6" t="s">
        <v>466</v>
      </c>
      <c r="C16" s="456" t="s">
        <v>467</v>
      </c>
      <c r="D16" s="6">
        <v>0</v>
      </c>
      <c r="E16" s="6">
        <v>1728</v>
      </c>
      <c r="F16" s="6">
        <v>2080</v>
      </c>
      <c r="G16" s="6"/>
      <c r="H16" s="6"/>
      <c r="I16" s="2"/>
      <c r="J16" s="2"/>
      <c r="K16" s="2"/>
      <c r="L16" s="2"/>
      <c r="M16" s="2"/>
      <c r="N16" s="2"/>
      <c r="O16" s="2"/>
      <c r="P16" s="3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</row>
    <row r="17" spans="1:1024" ht="15" x14ac:dyDescent="0.25">
      <c r="A17" s="143"/>
      <c r="B17" s="460"/>
      <c r="C17" s="110" t="s">
        <v>339</v>
      </c>
      <c r="D17" s="460">
        <f>SUM(D15:D16)</f>
        <v>0</v>
      </c>
      <c r="E17" s="460">
        <f>SUM(E15:E16)</f>
        <v>1728</v>
      </c>
      <c r="F17" s="460">
        <v>2080</v>
      </c>
      <c r="G17" s="460"/>
      <c r="H17" s="460"/>
      <c r="I17" s="461"/>
      <c r="J17" s="461"/>
      <c r="K17" s="461"/>
      <c r="L17" s="461"/>
      <c r="M17" s="461"/>
      <c r="N17" s="461"/>
      <c r="O17" s="461"/>
      <c r="P17" s="143"/>
      <c r="Q17" s="144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  <c r="IX17" s="145"/>
      <c r="IY17" s="145"/>
      <c r="IZ17" s="145"/>
      <c r="JA17" s="145"/>
      <c r="JB17" s="145"/>
      <c r="JC17" s="145"/>
      <c r="JD17" s="145"/>
      <c r="JE17" s="145"/>
      <c r="JF17" s="145"/>
      <c r="JG17" s="145"/>
      <c r="JH17" s="145"/>
      <c r="JI17" s="145"/>
      <c r="JJ17" s="145"/>
      <c r="JK17" s="145"/>
      <c r="JL17" s="145"/>
      <c r="JM17" s="145"/>
      <c r="JN17" s="145"/>
      <c r="JO17" s="145"/>
      <c r="JP17" s="145"/>
      <c r="JQ17" s="145"/>
      <c r="JR17" s="145"/>
      <c r="JS17" s="145"/>
      <c r="JT17" s="145"/>
      <c r="JU17" s="145"/>
      <c r="JV17" s="145"/>
      <c r="JW17" s="145"/>
      <c r="JX17" s="145"/>
      <c r="JY17" s="145"/>
      <c r="JZ17" s="145"/>
      <c r="KA17" s="145"/>
      <c r="KB17" s="145"/>
      <c r="KC17" s="145"/>
      <c r="KD17" s="145"/>
      <c r="KE17" s="145"/>
      <c r="KF17" s="145"/>
      <c r="KG17" s="145"/>
      <c r="KH17" s="145"/>
      <c r="KI17" s="145"/>
      <c r="KJ17" s="145"/>
      <c r="KK17" s="145"/>
      <c r="KL17" s="145"/>
      <c r="KM17" s="145"/>
      <c r="KN17" s="145"/>
      <c r="KO17" s="145"/>
      <c r="KP17" s="145"/>
      <c r="KQ17" s="145"/>
      <c r="KR17" s="145"/>
      <c r="KS17" s="145"/>
      <c r="KT17" s="145"/>
      <c r="KU17" s="145"/>
      <c r="KV17" s="145"/>
      <c r="KW17" s="145"/>
      <c r="KX17" s="145"/>
      <c r="KY17" s="145"/>
      <c r="KZ17" s="145"/>
      <c r="LA17" s="145"/>
      <c r="LB17" s="145"/>
      <c r="LC17" s="145"/>
      <c r="LD17" s="145"/>
      <c r="LE17" s="145"/>
      <c r="LF17" s="145"/>
      <c r="LG17" s="145"/>
      <c r="LH17" s="145"/>
      <c r="LI17" s="145"/>
      <c r="LJ17" s="145"/>
      <c r="LK17" s="145"/>
      <c r="LL17" s="145"/>
      <c r="LM17" s="145"/>
      <c r="LN17" s="145"/>
      <c r="LO17" s="145"/>
      <c r="LP17" s="145"/>
      <c r="LQ17" s="145"/>
      <c r="LR17" s="145"/>
      <c r="LS17" s="145"/>
      <c r="LT17" s="145"/>
      <c r="LU17" s="145"/>
      <c r="LV17" s="145"/>
      <c r="LW17" s="145"/>
      <c r="LX17" s="145"/>
      <c r="LY17" s="145"/>
      <c r="LZ17" s="145"/>
      <c r="MA17" s="145"/>
      <c r="MB17" s="145"/>
      <c r="MC17" s="145"/>
      <c r="MD17" s="145"/>
      <c r="ME17" s="145"/>
      <c r="MF17" s="145"/>
      <c r="MG17" s="145"/>
      <c r="MH17" s="145"/>
      <c r="MI17" s="145"/>
      <c r="MJ17" s="145"/>
      <c r="MK17" s="145"/>
      <c r="ML17" s="145"/>
      <c r="MM17" s="145"/>
      <c r="MN17" s="145"/>
      <c r="MO17" s="145"/>
      <c r="MP17" s="145"/>
      <c r="MQ17" s="145"/>
      <c r="MR17" s="145"/>
      <c r="MS17" s="145"/>
      <c r="MT17" s="145"/>
      <c r="MU17" s="145"/>
      <c r="MV17" s="145"/>
      <c r="MW17" s="145"/>
      <c r="MX17" s="145"/>
      <c r="MY17" s="145"/>
      <c r="MZ17" s="145"/>
      <c r="NA17" s="145"/>
      <c r="NB17" s="145"/>
      <c r="NC17" s="145"/>
      <c r="ND17" s="145"/>
      <c r="NE17" s="145"/>
      <c r="NF17" s="145"/>
      <c r="NG17" s="145"/>
      <c r="NH17" s="145"/>
      <c r="NI17" s="145"/>
      <c r="NJ17" s="145"/>
      <c r="NK17" s="145"/>
      <c r="NL17" s="145"/>
      <c r="NM17" s="145"/>
      <c r="NN17" s="145"/>
      <c r="NO17" s="145"/>
      <c r="NP17" s="145"/>
      <c r="NQ17" s="145"/>
      <c r="NR17" s="145"/>
      <c r="NS17" s="145"/>
      <c r="NT17" s="145"/>
      <c r="NU17" s="145"/>
      <c r="NV17" s="145"/>
      <c r="NW17" s="145"/>
      <c r="NX17" s="145"/>
      <c r="NY17" s="145"/>
      <c r="NZ17" s="145"/>
      <c r="OA17" s="145"/>
      <c r="OB17" s="145"/>
      <c r="OC17" s="145"/>
      <c r="OD17" s="145"/>
      <c r="OE17" s="145"/>
      <c r="OF17" s="145"/>
      <c r="OG17" s="145"/>
      <c r="OH17" s="145"/>
      <c r="OI17" s="145"/>
      <c r="OJ17" s="145"/>
      <c r="OK17" s="145"/>
      <c r="OL17" s="145"/>
      <c r="OM17" s="145"/>
      <c r="ON17" s="145"/>
      <c r="OO17" s="145"/>
      <c r="OP17" s="145"/>
      <c r="OQ17" s="145"/>
      <c r="OR17" s="145"/>
      <c r="OS17" s="145"/>
      <c r="OT17" s="145"/>
      <c r="OU17" s="145"/>
      <c r="OV17" s="145"/>
      <c r="OW17" s="145"/>
      <c r="OX17" s="145"/>
      <c r="OY17" s="145"/>
      <c r="OZ17" s="145"/>
      <c r="PA17" s="145"/>
      <c r="PB17" s="145"/>
      <c r="PC17" s="145"/>
      <c r="PD17" s="145"/>
      <c r="PE17" s="145"/>
      <c r="PF17" s="145"/>
      <c r="PG17" s="145"/>
      <c r="PH17" s="145"/>
      <c r="PI17" s="145"/>
      <c r="PJ17" s="145"/>
      <c r="PK17" s="145"/>
      <c r="PL17" s="145"/>
      <c r="PM17" s="145"/>
      <c r="PN17" s="145"/>
      <c r="PO17" s="145"/>
      <c r="PP17" s="145"/>
      <c r="PQ17" s="145"/>
      <c r="PR17" s="145"/>
      <c r="PS17" s="145"/>
      <c r="PT17" s="145"/>
      <c r="PU17" s="145"/>
      <c r="PV17" s="145"/>
      <c r="PW17" s="145"/>
      <c r="PX17" s="145"/>
      <c r="PY17" s="145"/>
      <c r="PZ17" s="145"/>
      <c r="QA17" s="145"/>
      <c r="QB17" s="145"/>
      <c r="QC17" s="145"/>
      <c r="QD17" s="145"/>
      <c r="QE17" s="145"/>
      <c r="QF17" s="145"/>
      <c r="QG17" s="145"/>
      <c r="QH17" s="145"/>
      <c r="QI17" s="145"/>
      <c r="QJ17" s="145"/>
      <c r="QK17" s="145"/>
      <c r="QL17" s="145"/>
      <c r="QM17" s="145"/>
      <c r="QN17" s="145"/>
      <c r="QO17" s="145"/>
      <c r="QP17" s="145"/>
      <c r="QQ17" s="145"/>
      <c r="QR17" s="145"/>
      <c r="QS17" s="145"/>
      <c r="QT17" s="145"/>
      <c r="QU17" s="145"/>
      <c r="QV17" s="145"/>
      <c r="QW17" s="145"/>
      <c r="QX17" s="145"/>
      <c r="QY17" s="145"/>
      <c r="QZ17" s="145"/>
      <c r="RA17" s="145"/>
      <c r="RB17" s="145"/>
      <c r="RC17" s="145"/>
      <c r="RD17" s="145"/>
      <c r="RE17" s="145"/>
      <c r="RF17" s="145"/>
      <c r="RG17" s="145"/>
      <c r="RH17" s="145"/>
      <c r="RI17" s="145"/>
      <c r="RJ17" s="145"/>
      <c r="RK17" s="145"/>
      <c r="RL17" s="145"/>
      <c r="RM17" s="145"/>
      <c r="RN17" s="145"/>
      <c r="RO17" s="145"/>
      <c r="RP17" s="145"/>
      <c r="RQ17" s="145"/>
      <c r="RR17" s="145"/>
      <c r="RS17" s="145"/>
      <c r="RT17" s="145"/>
      <c r="RU17" s="145"/>
      <c r="RV17" s="145"/>
      <c r="RW17" s="145"/>
      <c r="RX17" s="145"/>
      <c r="RY17" s="145"/>
      <c r="RZ17" s="145"/>
      <c r="SA17" s="145"/>
      <c r="SB17" s="145"/>
      <c r="SC17" s="145"/>
      <c r="SD17" s="145"/>
      <c r="SE17" s="145"/>
      <c r="SF17" s="145"/>
      <c r="SG17" s="145"/>
      <c r="SH17" s="145"/>
      <c r="SI17" s="145"/>
      <c r="SJ17" s="145"/>
      <c r="SK17" s="145"/>
      <c r="SL17" s="145"/>
      <c r="SM17" s="145"/>
      <c r="SN17" s="145"/>
      <c r="SO17" s="145"/>
      <c r="SP17" s="145"/>
      <c r="SQ17" s="145"/>
      <c r="SR17" s="145"/>
      <c r="SS17" s="145"/>
      <c r="ST17" s="145"/>
      <c r="SU17" s="145"/>
      <c r="SV17" s="145"/>
      <c r="SW17" s="145"/>
      <c r="SX17" s="145"/>
      <c r="SY17" s="145"/>
      <c r="SZ17" s="145"/>
      <c r="TA17" s="145"/>
      <c r="TB17" s="145"/>
      <c r="TC17" s="145"/>
      <c r="TD17" s="145"/>
      <c r="TE17" s="145"/>
      <c r="TF17" s="145"/>
      <c r="TG17" s="145"/>
      <c r="TH17" s="145"/>
      <c r="TI17" s="145"/>
      <c r="TJ17" s="145"/>
      <c r="TK17" s="145"/>
      <c r="TL17" s="145"/>
      <c r="TM17" s="145"/>
      <c r="TN17" s="145"/>
      <c r="TO17" s="145"/>
      <c r="TP17" s="145"/>
      <c r="TQ17" s="145"/>
      <c r="TR17" s="145"/>
      <c r="TS17" s="145"/>
      <c r="TT17" s="145"/>
      <c r="TU17" s="145"/>
      <c r="TV17" s="145"/>
      <c r="TW17" s="145"/>
      <c r="TX17" s="145"/>
      <c r="TY17" s="145"/>
      <c r="TZ17" s="145"/>
      <c r="UA17" s="145"/>
      <c r="UB17" s="145"/>
      <c r="UC17" s="145"/>
      <c r="UD17" s="145"/>
      <c r="UE17" s="145"/>
      <c r="UF17" s="145"/>
      <c r="UG17" s="145"/>
      <c r="UH17" s="145"/>
      <c r="UI17" s="145"/>
      <c r="UJ17" s="145"/>
      <c r="UK17" s="145"/>
      <c r="UL17" s="145"/>
      <c r="UM17" s="145"/>
      <c r="UN17" s="145"/>
      <c r="UO17" s="145"/>
      <c r="UP17" s="145"/>
      <c r="UQ17" s="145"/>
      <c r="UR17" s="145"/>
      <c r="US17" s="145"/>
      <c r="UT17" s="145"/>
      <c r="UU17" s="145"/>
      <c r="UV17" s="145"/>
      <c r="UW17" s="145"/>
      <c r="UX17" s="145"/>
      <c r="UY17" s="145"/>
      <c r="UZ17" s="145"/>
      <c r="VA17" s="145"/>
      <c r="VB17" s="145"/>
      <c r="VC17" s="145"/>
      <c r="VD17" s="145"/>
      <c r="VE17" s="145"/>
      <c r="VF17" s="145"/>
      <c r="VG17" s="145"/>
      <c r="VH17" s="145"/>
      <c r="VI17" s="145"/>
      <c r="VJ17" s="145"/>
      <c r="VK17" s="145"/>
      <c r="VL17" s="145"/>
      <c r="VM17" s="145"/>
      <c r="VN17" s="145"/>
      <c r="VO17" s="145"/>
      <c r="VP17" s="145"/>
      <c r="VQ17" s="145"/>
      <c r="VR17" s="145"/>
      <c r="VS17" s="145"/>
      <c r="VT17" s="145"/>
      <c r="VU17" s="145"/>
      <c r="VV17" s="145"/>
      <c r="VW17" s="145"/>
      <c r="VX17" s="145"/>
      <c r="VY17" s="145"/>
      <c r="VZ17" s="145"/>
      <c r="WA17" s="145"/>
      <c r="WB17" s="145"/>
      <c r="WC17" s="145"/>
      <c r="WD17" s="145"/>
      <c r="WE17" s="145"/>
      <c r="WF17" s="145"/>
      <c r="WG17" s="145"/>
      <c r="WH17" s="145"/>
      <c r="WI17" s="145"/>
      <c r="WJ17" s="145"/>
      <c r="WK17" s="145"/>
      <c r="WL17" s="145"/>
      <c r="WM17" s="145"/>
      <c r="WN17" s="145"/>
      <c r="WO17" s="145"/>
      <c r="WP17" s="145"/>
      <c r="WQ17" s="145"/>
      <c r="WR17" s="145"/>
      <c r="WS17" s="145"/>
      <c r="WT17" s="145"/>
      <c r="WU17" s="145"/>
      <c r="WV17" s="145"/>
      <c r="WW17" s="145"/>
      <c r="WX17" s="145"/>
      <c r="WY17" s="145"/>
      <c r="WZ17" s="145"/>
      <c r="XA17" s="145"/>
      <c r="XB17" s="145"/>
      <c r="XC17" s="145"/>
      <c r="XD17" s="145"/>
      <c r="XE17" s="145"/>
      <c r="XF17" s="145"/>
      <c r="XG17" s="145"/>
      <c r="XH17" s="145"/>
      <c r="XI17" s="145"/>
      <c r="XJ17" s="145"/>
      <c r="XK17" s="145"/>
      <c r="XL17" s="145"/>
      <c r="XM17" s="145"/>
      <c r="XN17" s="145"/>
      <c r="XO17" s="145"/>
      <c r="XP17" s="145"/>
      <c r="XQ17" s="145"/>
      <c r="XR17" s="145"/>
      <c r="XS17" s="145"/>
      <c r="XT17" s="145"/>
      <c r="XU17" s="145"/>
      <c r="XV17" s="145"/>
      <c r="XW17" s="145"/>
      <c r="XX17" s="145"/>
      <c r="XY17" s="145"/>
      <c r="XZ17" s="145"/>
      <c r="YA17" s="145"/>
      <c r="YB17" s="145"/>
      <c r="YC17" s="145"/>
      <c r="YD17" s="145"/>
      <c r="YE17" s="145"/>
      <c r="YF17" s="145"/>
      <c r="YG17" s="145"/>
      <c r="YH17" s="145"/>
      <c r="YI17" s="145"/>
      <c r="YJ17" s="145"/>
      <c r="YK17" s="145"/>
      <c r="YL17" s="145"/>
      <c r="YM17" s="145"/>
      <c r="YN17" s="145"/>
      <c r="YO17" s="145"/>
      <c r="YP17" s="145"/>
      <c r="YQ17" s="145"/>
      <c r="YR17" s="145"/>
      <c r="YS17" s="145"/>
      <c r="YT17" s="145"/>
      <c r="YU17" s="145"/>
      <c r="YV17" s="145"/>
      <c r="YW17" s="145"/>
      <c r="YX17" s="145"/>
      <c r="YY17" s="145"/>
      <c r="YZ17" s="145"/>
      <c r="ZA17" s="145"/>
      <c r="ZB17" s="145"/>
      <c r="ZC17" s="145"/>
      <c r="ZD17" s="145"/>
      <c r="ZE17" s="145"/>
      <c r="ZF17" s="145"/>
      <c r="ZG17" s="145"/>
      <c r="ZH17" s="145"/>
      <c r="ZI17" s="145"/>
      <c r="ZJ17" s="145"/>
      <c r="ZK17" s="145"/>
      <c r="ZL17" s="145"/>
      <c r="ZM17" s="145"/>
      <c r="ZN17" s="145"/>
      <c r="ZO17" s="145"/>
      <c r="ZP17" s="145"/>
      <c r="ZQ17" s="145"/>
      <c r="ZR17" s="145"/>
      <c r="ZS17" s="145"/>
      <c r="ZT17" s="145"/>
      <c r="ZU17" s="145"/>
      <c r="ZV17" s="145"/>
      <c r="ZW17" s="145"/>
      <c r="ZX17" s="145"/>
      <c r="ZY17" s="145"/>
      <c r="ZZ17" s="145"/>
      <c r="AAA17" s="145"/>
      <c r="AAB17" s="145"/>
      <c r="AAC17" s="145"/>
      <c r="AAD17" s="145"/>
      <c r="AAE17" s="145"/>
      <c r="AAF17" s="145"/>
      <c r="AAG17" s="145"/>
      <c r="AAH17" s="145"/>
      <c r="AAI17" s="145"/>
      <c r="AAJ17" s="145"/>
      <c r="AAK17" s="145"/>
      <c r="AAL17" s="145"/>
      <c r="AAM17" s="145"/>
      <c r="AAN17" s="145"/>
      <c r="AAO17" s="145"/>
      <c r="AAP17" s="145"/>
      <c r="AAQ17" s="145"/>
      <c r="AAR17" s="145"/>
      <c r="AAS17" s="145"/>
      <c r="AAT17" s="145"/>
      <c r="AAU17" s="145"/>
      <c r="AAV17" s="145"/>
      <c r="AAW17" s="145"/>
      <c r="AAX17" s="145"/>
      <c r="AAY17" s="145"/>
      <c r="AAZ17" s="145"/>
      <c r="ABA17" s="145"/>
      <c r="ABB17" s="145"/>
      <c r="ABC17" s="145"/>
      <c r="ABD17" s="145"/>
      <c r="ABE17" s="145"/>
      <c r="ABF17" s="145"/>
      <c r="ABG17" s="145"/>
      <c r="ABH17" s="145"/>
      <c r="ABI17" s="145"/>
      <c r="ABJ17" s="145"/>
      <c r="ABK17" s="145"/>
      <c r="ABL17" s="145"/>
      <c r="ABM17" s="145"/>
      <c r="ABN17" s="145"/>
      <c r="ABO17" s="145"/>
      <c r="ABP17" s="145"/>
      <c r="ABQ17" s="145"/>
      <c r="ABR17" s="145"/>
      <c r="ABS17" s="145"/>
      <c r="ABT17" s="145"/>
      <c r="ABU17" s="145"/>
      <c r="ABV17" s="145"/>
      <c r="ABW17" s="145"/>
      <c r="ABX17" s="145"/>
      <c r="ABY17" s="145"/>
      <c r="ABZ17" s="145"/>
      <c r="ACA17" s="145"/>
      <c r="ACB17" s="145"/>
      <c r="ACC17" s="145"/>
      <c r="ACD17" s="145"/>
      <c r="ACE17" s="145"/>
      <c r="ACF17" s="145"/>
      <c r="ACG17" s="145"/>
      <c r="ACH17" s="145"/>
      <c r="ACI17" s="145"/>
      <c r="ACJ17" s="145"/>
      <c r="ACK17" s="145"/>
      <c r="ACL17" s="145"/>
      <c r="ACM17" s="145"/>
      <c r="ACN17" s="145"/>
      <c r="ACO17" s="145"/>
      <c r="ACP17" s="145"/>
      <c r="ACQ17" s="145"/>
      <c r="ACR17" s="145"/>
      <c r="ACS17" s="145"/>
      <c r="ACT17" s="145"/>
      <c r="ACU17" s="145"/>
      <c r="ACV17" s="145"/>
      <c r="ACW17" s="145"/>
      <c r="ACX17" s="145"/>
      <c r="ACY17" s="145"/>
      <c r="ACZ17" s="145"/>
      <c r="ADA17" s="145"/>
      <c r="ADB17" s="145"/>
      <c r="ADC17" s="145"/>
      <c r="ADD17" s="145"/>
      <c r="ADE17" s="145"/>
      <c r="ADF17" s="145"/>
      <c r="ADG17" s="145"/>
      <c r="ADH17" s="145"/>
      <c r="ADI17" s="145"/>
      <c r="ADJ17" s="145"/>
      <c r="ADK17" s="145"/>
      <c r="ADL17" s="145"/>
      <c r="ADM17" s="145"/>
      <c r="ADN17" s="145"/>
      <c r="ADO17" s="145"/>
      <c r="ADP17" s="145"/>
      <c r="ADQ17" s="145"/>
      <c r="ADR17" s="145"/>
      <c r="ADS17" s="145"/>
      <c r="ADT17" s="145"/>
      <c r="ADU17" s="145"/>
      <c r="ADV17" s="145"/>
      <c r="ADW17" s="145"/>
      <c r="ADX17" s="145"/>
      <c r="ADY17" s="145"/>
      <c r="ADZ17" s="145"/>
      <c r="AEA17" s="145"/>
      <c r="AEB17" s="145"/>
      <c r="AEC17" s="145"/>
      <c r="AED17" s="145"/>
      <c r="AEE17" s="145"/>
      <c r="AEF17" s="145"/>
      <c r="AEG17" s="145"/>
      <c r="AEH17" s="145"/>
      <c r="AEI17" s="145"/>
      <c r="AEJ17" s="145"/>
      <c r="AEK17" s="145"/>
      <c r="AEL17" s="145"/>
      <c r="AEM17" s="145"/>
      <c r="AEN17" s="145"/>
      <c r="AEO17" s="145"/>
      <c r="AEP17" s="145"/>
      <c r="AEQ17" s="145"/>
      <c r="AER17" s="145"/>
      <c r="AES17" s="145"/>
      <c r="AET17" s="145"/>
      <c r="AEU17" s="145"/>
      <c r="AEV17" s="145"/>
      <c r="AEW17" s="145"/>
      <c r="AEX17" s="145"/>
      <c r="AEY17" s="145"/>
      <c r="AEZ17" s="145"/>
      <c r="AFA17" s="145"/>
      <c r="AFB17" s="145"/>
      <c r="AFC17" s="145"/>
      <c r="AFD17" s="145"/>
      <c r="AFE17" s="145"/>
      <c r="AFF17" s="145"/>
      <c r="AFG17" s="145"/>
      <c r="AFH17" s="145"/>
      <c r="AFI17" s="145"/>
      <c r="AFJ17" s="145"/>
      <c r="AFK17" s="145"/>
      <c r="AFL17" s="145"/>
      <c r="AFM17" s="145"/>
      <c r="AFN17" s="145"/>
      <c r="AFO17" s="145"/>
      <c r="AFP17" s="145"/>
      <c r="AFQ17" s="145"/>
      <c r="AFR17" s="145"/>
      <c r="AFS17" s="145"/>
      <c r="AFT17" s="145"/>
      <c r="AFU17" s="145"/>
      <c r="AFV17" s="145"/>
      <c r="AFW17" s="145"/>
      <c r="AFX17" s="145"/>
      <c r="AFY17" s="145"/>
      <c r="AFZ17" s="145"/>
      <c r="AGA17" s="145"/>
      <c r="AGB17" s="145"/>
      <c r="AGC17" s="145"/>
      <c r="AGD17" s="145"/>
      <c r="AGE17" s="145"/>
      <c r="AGF17" s="145"/>
      <c r="AGG17" s="145"/>
      <c r="AGH17" s="145"/>
      <c r="AGI17" s="145"/>
      <c r="AGJ17" s="145"/>
      <c r="AGK17" s="145"/>
      <c r="AGL17" s="145"/>
      <c r="AGM17" s="145"/>
      <c r="AGN17" s="145"/>
      <c r="AGO17" s="145"/>
      <c r="AGP17" s="145"/>
      <c r="AGQ17" s="145"/>
      <c r="AGR17" s="145"/>
      <c r="AGS17" s="145"/>
      <c r="AGT17" s="145"/>
      <c r="AGU17" s="145"/>
      <c r="AGV17" s="145"/>
      <c r="AGW17" s="145"/>
      <c r="AGX17" s="145"/>
      <c r="AGY17" s="145"/>
      <c r="AGZ17" s="145"/>
      <c r="AHA17" s="145"/>
      <c r="AHB17" s="145"/>
      <c r="AHC17" s="145"/>
      <c r="AHD17" s="145"/>
      <c r="AHE17" s="145"/>
      <c r="AHF17" s="145"/>
      <c r="AHG17" s="145"/>
      <c r="AHH17" s="145"/>
      <c r="AHI17" s="145"/>
      <c r="AHJ17" s="145"/>
      <c r="AHK17" s="145"/>
      <c r="AHL17" s="145"/>
      <c r="AHM17" s="145"/>
      <c r="AHN17" s="145"/>
      <c r="AHO17" s="145"/>
      <c r="AHP17" s="145"/>
      <c r="AHQ17" s="145"/>
      <c r="AHR17" s="145"/>
      <c r="AHS17" s="145"/>
      <c r="AHT17" s="145"/>
      <c r="AHU17" s="145"/>
      <c r="AHV17" s="145"/>
      <c r="AHW17" s="145"/>
      <c r="AHX17" s="145"/>
      <c r="AHY17" s="145"/>
      <c r="AHZ17" s="145"/>
      <c r="AIA17" s="145"/>
      <c r="AIB17" s="145"/>
      <c r="AIC17" s="145"/>
      <c r="AID17" s="145"/>
      <c r="AIE17" s="145"/>
      <c r="AIF17" s="145"/>
      <c r="AIG17" s="145"/>
      <c r="AIH17" s="145"/>
      <c r="AII17" s="145"/>
      <c r="AIJ17" s="145"/>
      <c r="AIK17" s="145"/>
      <c r="AIL17" s="145"/>
      <c r="AIM17" s="145"/>
      <c r="AIN17" s="145"/>
      <c r="AIO17" s="145"/>
      <c r="AIP17" s="145"/>
      <c r="AIQ17" s="145"/>
      <c r="AIR17" s="145"/>
      <c r="AIS17" s="145"/>
      <c r="AIT17" s="145"/>
      <c r="AIU17" s="145"/>
      <c r="AIV17" s="145"/>
      <c r="AIW17" s="145"/>
      <c r="AIX17" s="145"/>
      <c r="AIY17" s="145"/>
      <c r="AIZ17" s="145"/>
      <c r="AJA17" s="145"/>
      <c r="AJB17" s="145"/>
      <c r="AJC17" s="145"/>
      <c r="AJD17" s="145"/>
      <c r="AJE17" s="145"/>
      <c r="AJF17" s="145"/>
      <c r="AJG17" s="145"/>
      <c r="AJH17" s="145"/>
      <c r="AJI17" s="145"/>
      <c r="AJJ17" s="145"/>
      <c r="AJK17" s="145"/>
      <c r="AJL17" s="145"/>
      <c r="AJM17" s="145"/>
      <c r="AJN17" s="145"/>
      <c r="AJO17" s="145"/>
      <c r="AJP17" s="145"/>
      <c r="AJQ17" s="145"/>
      <c r="AJR17" s="145"/>
      <c r="AJS17" s="145"/>
      <c r="AJT17" s="145"/>
      <c r="AJU17" s="145"/>
      <c r="AJV17" s="145"/>
      <c r="AJW17" s="145"/>
      <c r="AJX17" s="145"/>
      <c r="AJY17" s="145"/>
      <c r="AJZ17" s="145"/>
      <c r="AKA17" s="145"/>
      <c r="AKB17" s="145"/>
      <c r="AKC17" s="145"/>
      <c r="AKD17" s="145"/>
      <c r="AKE17" s="145"/>
      <c r="AKF17" s="145"/>
      <c r="AKG17" s="145"/>
      <c r="AKH17" s="145"/>
      <c r="AKI17" s="145"/>
      <c r="AKJ17" s="145"/>
      <c r="AKK17" s="145"/>
      <c r="AKL17" s="145"/>
      <c r="AKM17" s="145"/>
      <c r="AKN17" s="145"/>
      <c r="AKO17" s="145"/>
      <c r="AKP17" s="145"/>
      <c r="AKQ17" s="145"/>
      <c r="AKR17" s="145"/>
      <c r="AKS17" s="145"/>
      <c r="AKT17" s="145"/>
      <c r="AKU17" s="145"/>
      <c r="AKV17" s="145"/>
      <c r="AKW17" s="145"/>
      <c r="AKX17" s="145"/>
      <c r="AKY17" s="145"/>
      <c r="AKZ17" s="145"/>
      <c r="ALA17" s="145"/>
      <c r="ALB17" s="145"/>
      <c r="ALC17" s="145"/>
      <c r="ALD17" s="145"/>
      <c r="ALE17" s="145"/>
      <c r="ALF17" s="145"/>
      <c r="ALG17" s="145"/>
      <c r="ALH17" s="145"/>
      <c r="ALI17" s="145"/>
      <c r="ALJ17" s="145"/>
      <c r="ALK17" s="145"/>
      <c r="ALL17" s="145"/>
      <c r="ALM17" s="145"/>
      <c r="ALN17" s="145"/>
      <c r="ALO17" s="145"/>
      <c r="ALP17" s="145"/>
      <c r="ALQ17" s="145"/>
      <c r="ALR17" s="145"/>
      <c r="ALS17" s="145"/>
      <c r="ALT17" s="145"/>
      <c r="ALU17" s="145"/>
      <c r="ALV17" s="145"/>
      <c r="ALW17" s="145"/>
      <c r="ALX17" s="145"/>
      <c r="ALY17" s="145"/>
      <c r="ALZ17" s="145"/>
      <c r="AMA17" s="145"/>
      <c r="AMB17" s="145"/>
      <c r="AMC17" s="145"/>
      <c r="AMD17" s="145"/>
      <c r="AME17" s="145"/>
      <c r="AMF17" s="145"/>
      <c r="AMG17" s="145"/>
      <c r="AMH17" s="145"/>
      <c r="AMI17" s="145"/>
      <c r="AMJ17" s="462"/>
    </row>
    <row r="18" spans="1:1024" x14ac:dyDescent="0.2">
      <c r="A18" s="3"/>
      <c r="B18" s="6"/>
      <c r="C18" s="456"/>
      <c r="D18" s="6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3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</row>
    <row r="19" spans="1:1024" x14ac:dyDescent="0.2">
      <c r="A19" s="3"/>
      <c r="B19" s="6" t="s">
        <v>468</v>
      </c>
      <c r="C19" s="456"/>
      <c r="D19" s="6"/>
      <c r="E19" s="6"/>
      <c r="F19" s="6"/>
      <c r="G19" s="6"/>
      <c r="H19" s="6"/>
      <c r="I19" s="2"/>
      <c r="J19" s="2"/>
      <c r="K19" s="2"/>
      <c r="L19" s="2"/>
      <c r="M19" s="2"/>
      <c r="N19" s="2"/>
      <c r="O19" s="2"/>
      <c r="P19" s="3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</row>
    <row r="20" spans="1:1024" x14ac:dyDescent="0.2">
      <c r="A20" s="3"/>
      <c r="B20" s="6" t="s">
        <v>469</v>
      </c>
      <c r="C20" s="456" t="s">
        <v>470</v>
      </c>
      <c r="D20" s="6">
        <v>433</v>
      </c>
      <c r="E20" s="6">
        <v>600</v>
      </c>
      <c r="F20" s="6">
        <v>600</v>
      </c>
      <c r="G20" s="6"/>
      <c r="H20" s="6"/>
      <c r="I20" s="2"/>
      <c r="J20" s="2"/>
      <c r="K20" s="2"/>
      <c r="L20" s="2"/>
      <c r="M20" s="2"/>
      <c r="N20" s="2"/>
      <c r="O20" s="2"/>
      <c r="P20" s="3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</row>
    <row r="21" spans="1:1024" x14ac:dyDescent="0.2">
      <c r="A21" s="3"/>
      <c r="B21" s="6" t="s">
        <v>471</v>
      </c>
      <c r="C21" s="456" t="s">
        <v>472</v>
      </c>
      <c r="D21" s="6">
        <v>1140</v>
      </c>
      <c r="E21" s="6">
        <v>1140</v>
      </c>
      <c r="F21" s="6">
        <v>1500</v>
      </c>
      <c r="G21" s="6"/>
      <c r="H21" s="6"/>
      <c r="I21" s="2"/>
      <c r="J21" s="2"/>
      <c r="K21" s="2"/>
      <c r="L21" s="2"/>
      <c r="M21" s="2"/>
      <c r="N21" s="2"/>
      <c r="O21" s="2"/>
      <c r="P21" s="3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</row>
    <row r="22" spans="1:1024" x14ac:dyDescent="0.2">
      <c r="A22" s="3"/>
      <c r="B22" s="6" t="s">
        <v>473</v>
      </c>
      <c r="C22" s="456" t="s">
        <v>474</v>
      </c>
      <c r="D22" s="6"/>
      <c r="E22" s="6"/>
      <c r="F22" s="6"/>
      <c r="G22" s="6"/>
      <c r="H22" s="6"/>
      <c r="I22" s="2"/>
      <c r="J22" s="2"/>
      <c r="K22" s="2"/>
      <c r="L22" s="2"/>
      <c r="M22" s="2"/>
      <c r="N22" s="2"/>
      <c r="O22" s="2"/>
      <c r="P22" s="3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</row>
    <row r="23" spans="1:1024" ht="15" x14ac:dyDescent="0.25">
      <c r="A23" s="143"/>
      <c r="B23" s="460"/>
      <c r="C23" s="110" t="s">
        <v>339</v>
      </c>
      <c r="D23" s="460">
        <f>SUM(D20:D22)</f>
        <v>1573</v>
      </c>
      <c r="E23" s="460">
        <f>SUM(E20:E22)</f>
        <v>1740</v>
      </c>
      <c r="F23" s="460">
        <f>SUM(F20:F22)</f>
        <v>2100</v>
      </c>
      <c r="G23" s="460"/>
      <c r="H23" s="460"/>
      <c r="I23" s="461"/>
      <c r="J23" s="461"/>
      <c r="K23" s="461"/>
      <c r="L23" s="461"/>
      <c r="M23" s="461"/>
      <c r="N23" s="461"/>
      <c r="O23" s="461"/>
      <c r="P23" s="143"/>
      <c r="Q23" s="144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  <c r="IW23" s="145"/>
      <c r="IX23" s="145"/>
      <c r="IY23" s="145"/>
      <c r="IZ23" s="145"/>
      <c r="JA23" s="145"/>
      <c r="JB23" s="145"/>
      <c r="JC23" s="145"/>
      <c r="JD23" s="145"/>
      <c r="JE23" s="145"/>
      <c r="JF23" s="145"/>
      <c r="JG23" s="145"/>
      <c r="JH23" s="145"/>
      <c r="JI23" s="145"/>
      <c r="JJ23" s="145"/>
      <c r="JK23" s="145"/>
      <c r="JL23" s="145"/>
      <c r="JM23" s="145"/>
      <c r="JN23" s="145"/>
      <c r="JO23" s="145"/>
      <c r="JP23" s="145"/>
      <c r="JQ23" s="145"/>
      <c r="JR23" s="145"/>
      <c r="JS23" s="145"/>
      <c r="JT23" s="145"/>
      <c r="JU23" s="145"/>
      <c r="JV23" s="145"/>
      <c r="JW23" s="145"/>
      <c r="JX23" s="145"/>
      <c r="JY23" s="145"/>
      <c r="JZ23" s="145"/>
      <c r="KA23" s="145"/>
      <c r="KB23" s="145"/>
      <c r="KC23" s="145"/>
      <c r="KD23" s="145"/>
      <c r="KE23" s="145"/>
      <c r="KF23" s="145"/>
      <c r="KG23" s="145"/>
      <c r="KH23" s="145"/>
      <c r="KI23" s="145"/>
      <c r="KJ23" s="145"/>
      <c r="KK23" s="145"/>
      <c r="KL23" s="145"/>
      <c r="KM23" s="145"/>
      <c r="KN23" s="145"/>
      <c r="KO23" s="145"/>
      <c r="KP23" s="145"/>
      <c r="KQ23" s="145"/>
      <c r="KR23" s="145"/>
      <c r="KS23" s="145"/>
      <c r="KT23" s="145"/>
      <c r="KU23" s="145"/>
      <c r="KV23" s="145"/>
      <c r="KW23" s="145"/>
      <c r="KX23" s="145"/>
      <c r="KY23" s="145"/>
      <c r="KZ23" s="145"/>
      <c r="LA23" s="145"/>
      <c r="LB23" s="145"/>
      <c r="LC23" s="145"/>
      <c r="LD23" s="145"/>
      <c r="LE23" s="145"/>
      <c r="LF23" s="145"/>
      <c r="LG23" s="145"/>
      <c r="LH23" s="145"/>
      <c r="LI23" s="145"/>
      <c r="LJ23" s="145"/>
      <c r="LK23" s="145"/>
      <c r="LL23" s="145"/>
      <c r="LM23" s="145"/>
      <c r="LN23" s="145"/>
      <c r="LO23" s="145"/>
      <c r="LP23" s="145"/>
      <c r="LQ23" s="145"/>
      <c r="LR23" s="145"/>
      <c r="LS23" s="145"/>
      <c r="LT23" s="145"/>
      <c r="LU23" s="145"/>
      <c r="LV23" s="145"/>
      <c r="LW23" s="145"/>
      <c r="LX23" s="145"/>
      <c r="LY23" s="145"/>
      <c r="LZ23" s="145"/>
      <c r="MA23" s="145"/>
      <c r="MB23" s="145"/>
      <c r="MC23" s="145"/>
      <c r="MD23" s="145"/>
      <c r="ME23" s="145"/>
      <c r="MF23" s="145"/>
      <c r="MG23" s="145"/>
      <c r="MH23" s="145"/>
      <c r="MI23" s="145"/>
      <c r="MJ23" s="145"/>
      <c r="MK23" s="145"/>
      <c r="ML23" s="145"/>
      <c r="MM23" s="145"/>
      <c r="MN23" s="145"/>
      <c r="MO23" s="145"/>
      <c r="MP23" s="145"/>
      <c r="MQ23" s="145"/>
      <c r="MR23" s="145"/>
      <c r="MS23" s="145"/>
      <c r="MT23" s="145"/>
      <c r="MU23" s="145"/>
      <c r="MV23" s="145"/>
      <c r="MW23" s="145"/>
      <c r="MX23" s="145"/>
      <c r="MY23" s="145"/>
      <c r="MZ23" s="145"/>
      <c r="NA23" s="145"/>
      <c r="NB23" s="145"/>
      <c r="NC23" s="145"/>
      <c r="ND23" s="145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145"/>
      <c r="NS23" s="145"/>
      <c r="NT23" s="145"/>
      <c r="NU23" s="145"/>
      <c r="NV23" s="145"/>
      <c r="NW23" s="145"/>
      <c r="NX23" s="145"/>
      <c r="NY23" s="145"/>
      <c r="NZ23" s="145"/>
      <c r="OA23" s="145"/>
      <c r="OB23" s="145"/>
      <c r="OC23" s="145"/>
      <c r="OD23" s="145"/>
      <c r="OE23" s="145"/>
      <c r="OF23" s="145"/>
      <c r="OG23" s="145"/>
      <c r="OH23" s="145"/>
      <c r="OI23" s="145"/>
      <c r="OJ23" s="145"/>
      <c r="OK23" s="145"/>
      <c r="OL23" s="145"/>
      <c r="OM23" s="145"/>
      <c r="ON23" s="145"/>
      <c r="OO23" s="145"/>
      <c r="OP23" s="145"/>
      <c r="OQ23" s="145"/>
      <c r="OR23" s="145"/>
      <c r="OS23" s="145"/>
      <c r="OT23" s="145"/>
      <c r="OU23" s="145"/>
      <c r="OV23" s="145"/>
      <c r="OW23" s="145"/>
      <c r="OX23" s="145"/>
      <c r="OY23" s="145"/>
      <c r="OZ23" s="145"/>
      <c r="PA23" s="145"/>
      <c r="PB23" s="145"/>
      <c r="PC23" s="145"/>
      <c r="PD23" s="145"/>
      <c r="PE23" s="145"/>
      <c r="PF23" s="145"/>
      <c r="PG23" s="145"/>
      <c r="PH23" s="145"/>
      <c r="PI23" s="145"/>
      <c r="PJ23" s="145"/>
      <c r="PK23" s="145"/>
      <c r="PL23" s="145"/>
      <c r="PM23" s="145"/>
      <c r="PN23" s="145"/>
      <c r="PO23" s="145"/>
      <c r="PP23" s="145"/>
      <c r="PQ23" s="145"/>
      <c r="PR23" s="145"/>
      <c r="PS23" s="145"/>
      <c r="PT23" s="145"/>
      <c r="PU23" s="145"/>
      <c r="PV23" s="145"/>
      <c r="PW23" s="145"/>
      <c r="PX23" s="145"/>
      <c r="PY23" s="145"/>
      <c r="PZ23" s="145"/>
      <c r="QA23" s="145"/>
      <c r="QB23" s="145"/>
      <c r="QC23" s="145"/>
      <c r="QD23" s="145"/>
      <c r="QE23" s="145"/>
      <c r="QF23" s="145"/>
      <c r="QG23" s="145"/>
      <c r="QH23" s="145"/>
      <c r="QI23" s="145"/>
      <c r="QJ23" s="145"/>
      <c r="QK23" s="145"/>
      <c r="QL23" s="145"/>
      <c r="QM23" s="145"/>
      <c r="QN23" s="145"/>
      <c r="QO23" s="145"/>
      <c r="QP23" s="145"/>
      <c r="QQ23" s="145"/>
      <c r="QR23" s="145"/>
      <c r="QS23" s="145"/>
      <c r="QT23" s="145"/>
      <c r="QU23" s="145"/>
      <c r="QV23" s="145"/>
      <c r="QW23" s="145"/>
      <c r="QX23" s="145"/>
      <c r="QY23" s="145"/>
      <c r="QZ23" s="145"/>
      <c r="RA23" s="145"/>
      <c r="RB23" s="145"/>
      <c r="RC23" s="145"/>
      <c r="RD23" s="145"/>
      <c r="RE23" s="145"/>
      <c r="RF23" s="145"/>
      <c r="RG23" s="145"/>
      <c r="RH23" s="145"/>
      <c r="RI23" s="145"/>
      <c r="RJ23" s="145"/>
      <c r="RK23" s="145"/>
      <c r="RL23" s="145"/>
      <c r="RM23" s="145"/>
      <c r="RN23" s="145"/>
      <c r="RO23" s="145"/>
      <c r="RP23" s="145"/>
      <c r="RQ23" s="145"/>
      <c r="RR23" s="145"/>
      <c r="RS23" s="145"/>
      <c r="RT23" s="145"/>
      <c r="RU23" s="145"/>
      <c r="RV23" s="145"/>
      <c r="RW23" s="145"/>
      <c r="RX23" s="145"/>
      <c r="RY23" s="145"/>
      <c r="RZ23" s="145"/>
      <c r="SA23" s="145"/>
      <c r="SB23" s="145"/>
      <c r="SC23" s="145"/>
      <c r="SD23" s="145"/>
      <c r="SE23" s="145"/>
      <c r="SF23" s="145"/>
      <c r="SG23" s="145"/>
      <c r="SH23" s="145"/>
      <c r="SI23" s="145"/>
      <c r="SJ23" s="145"/>
      <c r="SK23" s="145"/>
      <c r="SL23" s="145"/>
      <c r="SM23" s="145"/>
      <c r="SN23" s="145"/>
      <c r="SO23" s="145"/>
      <c r="SP23" s="145"/>
      <c r="SQ23" s="145"/>
      <c r="SR23" s="145"/>
      <c r="SS23" s="145"/>
      <c r="ST23" s="145"/>
      <c r="SU23" s="145"/>
      <c r="SV23" s="145"/>
      <c r="SW23" s="145"/>
      <c r="SX23" s="145"/>
      <c r="SY23" s="145"/>
      <c r="SZ23" s="145"/>
      <c r="TA23" s="145"/>
      <c r="TB23" s="145"/>
      <c r="TC23" s="145"/>
      <c r="TD23" s="145"/>
      <c r="TE23" s="145"/>
      <c r="TF23" s="145"/>
      <c r="TG23" s="145"/>
      <c r="TH23" s="145"/>
      <c r="TI23" s="145"/>
      <c r="TJ23" s="145"/>
      <c r="TK23" s="145"/>
      <c r="TL23" s="145"/>
      <c r="TM23" s="145"/>
      <c r="TN23" s="145"/>
      <c r="TO23" s="145"/>
      <c r="TP23" s="145"/>
      <c r="TQ23" s="145"/>
      <c r="TR23" s="145"/>
      <c r="TS23" s="145"/>
      <c r="TT23" s="145"/>
      <c r="TU23" s="145"/>
      <c r="TV23" s="145"/>
      <c r="TW23" s="145"/>
      <c r="TX23" s="145"/>
      <c r="TY23" s="145"/>
      <c r="TZ23" s="145"/>
      <c r="UA23" s="145"/>
      <c r="UB23" s="145"/>
      <c r="UC23" s="145"/>
      <c r="UD23" s="145"/>
      <c r="UE23" s="145"/>
      <c r="UF23" s="145"/>
      <c r="UG23" s="145"/>
      <c r="UH23" s="145"/>
      <c r="UI23" s="145"/>
      <c r="UJ23" s="145"/>
      <c r="UK23" s="145"/>
      <c r="UL23" s="145"/>
      <c r="UM23" s="145"/>
      <c r="UN23" s="145"/>
      <c r="UO23" s="145"/>
      <c r="UP23" s="145"/>
      <c r="UQ23" s="145"/>
      <c r="UR23" s="145"/>
      <c r="US23" s="145"/>
      <c r="UT23" s="145"/>
      <c r="UU23" s="145"/>
      <c r="UV23" s="145"/>
      <c r="UW23" s="145"/>
      <c r="UX23" s="145"/>
      <c r="UY23" s="145"/>
      <c r="UZ23" s="145"/>
      <c r="VA23" s="145"/>
      <c r="VB23" s="145"/>
      <c r="VC23" s="145"/>
      <c r="VD23" s="145"/>
      <c r="VE23" s="145"/>
      <c r="VF23" s="145"/>
      <c r="VG23" s="145"/>
      <c r="VH23" s="145"/>
      <c r="VI23" s="145"/>
      <c r="VJ23" s="145"/>
      <c r="VK23" s="145"/>
      <c r="VL23" s="145"/>
      <c r="VM23" s="145"/>
      <c r="VN23" s="145"/>
      <c r="VO23" s="145"/>
      <c r="VP23" s="145"/>
      <c r="VQ23" s="145"/>
      <c r="VR23" s="145"/>
      <c r="VS23" s="145"/>
      <c r="VT23" s="145"/>
      <c r="VU23" s="145"/>
      <c r="VV23" s="145"/>
      <c r="VW23" s="145"/>
      <c r="VX23" s="145"/>
      <c r="VY23" s="145"/>
      <c r="VZ23" s="145"/>
      <c r="WA23" s="145"/>
      <c r="WB23" s="145"/>
      <c r="WC23" s="145"/>
      <c r="WD23" s="145"/>
      <c r="WE23" s="145"/>
      <c r="WF23" s="145"/>
      <c r="WG23" s="145"/>
      <c r="WH23" s="145"/>
      <c r="WI23" s="145"/>
      <c r="WJ23" s="145"/>
      <c r="WK23" s="145"/>
      <c r="WL23" s="145"/>
      <c r="WM23" s="145"/>
      <c r="WN23" s="145"/>
      <c r="WO23" s="145"/>
      <c r="WP23" s="145"/>
      <c r="WQ23" s="145"/>
      <c r="WR23" s="145"/>
      <c r="WS23" s="145"/>
      <c r="WT23" s="145"/>
      <c r="WU23" s="145"/>
      <c r="WV23" s="145"/>
      <c r="WW23" s="145"/>
      <c r="WX23" s="145"/>
      <c r="WY23" s="145"/>
      <c r="WZ23" s="145"/>
      <c r="XA23" s="145"/>
      <c r="XB23" s="145"/>
      <c r="XC23" s="145"/>
      <c r="XD23" s="145"/>
      <c r="XE23" s="145"/>
      <c r="XF23" s="145"/>
      <c r="XG23" s="145"/>
      <c r="XH23" s="145"/>
      <c r="XI23" s="145"/>
      <c r="XJ23" s="145"/>
      <c r="XK23" s="145"/>
      <c r="XL23" s="145"/>
      <c r="XM23" s="145"/>
      <c r="XN23" s="145"/>
      <c r="XO23" s="145"/>
      <c r="XP23" s="145"/>
      <c r="XQ23" s="145"/>
      <c r="XR23" s="145"/>
      <c r="XS23" s="145"/>
      <c r="XT23" s="145"/>
      <c r="XU23" s="145"/>
      <c r="XV23" s="145"/>
      <c r="XW23" s="145"/>
      <c r="XX23" s="145"/>
      <c r="XY23" s="145"/>
      <c r="XZ23" s="145"/>
      <c r="YA23" s="145"/>
      <c r="YB23" s="145"/>
      <c r="YC23" s="145"/>
      <c r="YD23" s="145"/>
      <c r="YE23" s="145"/>
      <c r="YF23" s="145"/>
      <c r="YG23" s="145"/>
      <c r="YH23" s="145"/>
      <c r="YI23" s="145"/>
      <c r="YJ23" s="145"/>
      <c r="YK23" s="145"/>
      <c r="YL23" s="145"/>
      <c r="YM23" s="145"/>
      <c r="YN23" s="145"/>
      <c r="YO23" s="145"/>
      <c r="YP23" s="145"/>
      <c r="YQ23" s="145"/>
      <c r="YR23" s="145"/>
      <c r="YS23" s="145"/>
      <c r="YT23" s="145"/>
      <c r="YU23" s="145"/>
      <c r="YV23" s="145"/>
      <c r="YW23" s="145"/>
      <c r="YX23" s="145"/>
      <c r="YY23" s="145"/>
      <c r="YZ23" s="145"/>
      <c r="ZA23" s="145"/>
      <c r="ZB23" s="145"/>
      <c r="ZC23" s="145"/>
      <c r="ZD23" s="145"/>
      <c r="ZE23" s="145"/>
      <c r="ZF23" s="145"/>
      <c r="ZG23" s="145"/>
      <c r="ZH23" s="145"/>
      <c r="ZI23" s="145"/>
      <c r="ZJ23" s="145"/>
      <c r="ZK23" s="145"/>
      <c r="ZL23" s="145"/>
      <c r="ZM23" s="145"/>
      <c r="ZN23" s="145"/>
      <c r="ZO23" s="145"/>
      <c r="ZP23" s="145"/>
      <c r="ZQ23" s="145"/>
      <c r="ZR23" s="145"/>
      <c r="ZS23" s="145"/>
      <c r="ZT23" s="145"/>
      <c r="ZU23" s="145"/>
      <c r="ZV23" s="145"/>
      <c r="ZW23" s="145"/>
      <c r="ZX23" s="145"/>
      <c r="ZY23" s="145"/>
      <c r="ZZ23" s="145"/>
      <c r="AAA23" s="145"/>
      <c r="AAB23" s="145"/>
      <c r="AAC23" s="145"/>
      <c r="AAD23" s="145"/>
      <c r="AAE23" s="145"/>
      <c r="AAF23" s="145"/>
      <c r="AAG23" s="145"/>
      <c r="AAH23" s="145"/>
      <c r="AAI23" s="145"/>
      <c r="AAJ23" s="145"/>
      <c r="AAK23" s="145"/>
      <c r="AAL23" s="145"/>
      <c r="AAM23" s="145"/>
      <c r="AAN23" s="145"/>
      <c r="AAO23" s="145"/>
      <c r="AAP23" s="145"/>
      <c r="AAQ23" s="145"/>
      <c r="AAR23" s="145"/>
      <c r="AAS23" s="145"/>
      <c r="AAT23" s="145"/>
      <c r="AAU23" s="145"/>
      <c r="AAV23" s="145"/>
      <c r="AAW23" s="145"/>
      <c r="AAX23" s="145"/>
      <c r="AAY23" s="145"/>
      <c r="AAZ23" s="145"/>
      <c r="ABA23" s="145"/>
      <c r="ABB23" s="145"/>
      <c r="ABC23" s="145"/>
      <c r="ABD23" s="145"/>
      <c r="ABE23" s="145"/>
      <c r="ABF23" s="145"/>
      <c r="ABG23" s="145"/>
      <c r="ABH23" s="145"/>
      <c r="ABI23" s="145"/>
      <c r="ABJ23" s="145"/>
      <c r="ABK23" s="145"/>
      <c r="ABL23" s="145"/>
      <c r="ABM23" s="145"/>
      <c r="ABN23" s="145"/>
      <c r="ABO23" s="145"/>
      <c r="ABP23" s="145"/>
      <c r="ABQ23" s="145"/>
      <c r="ABR23" s="145"/>
      <c r="ABS23" s="145"/>
      <c r="ABT23" s="145"/>
      <c r="ABU23" s="145"/>
      <c r="ABV23" s="145"/>
      <c r="ABW23" s="145"/>
      <c r="ABX23" s="145"/>
      <c r="ABY23" s="145"/>
      <c r="ABZ23" s="145"/>
      <c r="ACA23" s="145"/>
      <c r="ACB23" s="145"/>
      <c r="ACC23" s="145"/>
      <c r="ACD23" s="145"/>
      <c r="ACE23" s="145"/>
      <c r="ACF23" s="145"/>
      <c r="ACG23" s="145"/>
      <c r="ACH23" s="145"/>
      <c r="ACI23" s="145"/>
      <c r="ACJ23" s="145"/>
      <c r="ACK23" s="145"/>
      <c r="ACL23" s="145"/>
      <c r="ACM23" s="145"/>
      <c r="ACN23" s="145"/>
      <c r="ACO23" s="145"/>
      <c r="ACP23" s="145"/>
      <c r="ACQ23" s="145"/>
      <c r="ACR23" s="145"/>
      <c r="ACS23" s="145"/>
      <c r="ACT23" s="145"/>
      <c r="ACU23" s="145"/>
      <c r="ACV23" s="145"/>
      <c r="ACW23" s="145"/>
      <c r="ACX23" s="145"/>
      <c r="ACY23" s="145"/>
      <c r="ACZ23" s="145"/>
      <c r="ADA23" s="145"/>
      <c r="ADB23" s="145"/>
      <c r="ADC23" s="145"/>
      <c r="ADD23" s="145"/>
      <c r="ADE23" s="145"/>
      <c r="ADF23" s="145"/>
      <c r="ADG23" s="145"/>
      <c r="ADH23" s="145"/>
      <c r="ADI23" s="145"/>
      <c r="ADJ23" s="145"/>
      <c r="ADK23" s="145"/>
      <c r="ADL23" s="145"/>
      <c r="ADM23" s="145"/>
      <c r="ADN23" s="145"/>
      <c r="ADO23" s="145"/>
      <c r="ADP23" s="145"/>
      <c r="ADQ23" s="145"/>
      <c r="ADR23" s="145"/>
      <c r="ADS23" s="145"/>
      <c r="ADT23" s="145"/>
      <c r="ADU23" s="145"/>
      <c r="ADV23" s="145"/>
      <c r="ADW23" s="145"/>
      <c r="ADX23" s="145"/>
      <c r="ADY23" s="145"/>
      <c r="ADZ23" s="145"/>
      <c r="AEA23" s="145"/>
      <c r="AEB23" s="145"/>
      <c r="AEC23" s="145"/>
      <c r="AED23" s="145"/>
      <c r="AEE23" s="145"/>
      <c r="AEF23" s="145"/>
      <c r="AEG23" s="145"/>
      <c r="AEH23" s="145"/>
      <c r="AEI23" s="145"/>
      <c r="AEJ23" s="145"/>
      <c r="AEK23" s="145"/>
      <c r="AEL23" s="145"/>
      <c r="AEM23" s="145"/>
      <c r="AEN23" s="145"/>
      <c r="AEO23" s="145"/>
      <c r="AEP23" s="145"/>
      <c r="AEQ23" s="145"/>
      <c r="AER23" s="145"/>
      <c r="AES23" s="145"/>
      <c r="AET23" s="145"/>
      <c r="AEU23" s="145"/>
      <c r="AEV23" s="145"/>
      <c r="AEW23" s="145"/>
      <c r="AEX23" s="145"/>
      <c r="AEY23" s="145"/>
      <c r="AEZ23" s="145"/>
      <c r="AFA23" s="145"/>
      <c r="AFB23" s="145"/>
      <c r="AFC23" s="145"/>
      <c r="AFD23" s="145"/>
      <c r="AFE23" s="145"/>
      <c r="AFF23" s="145"/>
      <c r="AFG23" s="145"/>
      <c r="AFH23" s="145"/>
      <c r="AFI23" s="145"/>
      <c r="AFJ23" s="145"/>
      <c r="AFK23" s="145"/>
      <c r="AFL23" s="145"/>
      <c r="AFM23" s="145"/>
      <c r="AFN23" s="145"/>
      <c r="AFO23" s="145"/>
      <c r="AFP23" s="145"/>
      <c r="AFQ23" s="145"/>
      <c r="AFR23" s="145"/>
      <c r="AFS23" s="145"/>
      <c r="AFT23" s="145"/>
      <c r="AFU23" s="145"/>
      <c r="AFV23" s="145"/>
      <c r="AFW23" s="145"/>
      <c r="AFX23" s="145"/>
      <c r="AFY23" s="145"/>
      <c r="AFZ23" s="145"/>
      <c r="AGA23" s="145"/>
      <c r="AGB23" s="145"/>
      <c r="AGC23" s="145"/>
      <c r="AGD23" s="145"/>
      <c r="AGE23" s="145"/>
      <c r="AGF23" s="145"/>
      <c r="AGG23" s="145"/>
      <c r="AGH23" s="145"/>
      <c r="AGI23" s="145"/>
      <c r="AGJ23" s="145"/>
      <c r="AGK23" s="145"/>
      <c r="AGL23" s="145"/>
      <c r="AGM23" s="145"/>
      <c r="AGN23" s="145"/>
      <c r="AGO23" s="145"/>
      <c r="AGP23" s="145"/>
      <c r="AGQ23" s="145"/>
      <c r="AGR23" s="145"/>
      <c r="AGS23" s="145"/>
      <c r="AGT23" s="145"/>
      <c r="AGU23" s="145"/>
      <c r="AGV23" s="145"/>
      <c r="AGW23" s="145"/>
      <c r="AGX23" s="145"/>
      <c r="AGY23" s="145"/>
      <c r="AGZ23" s="145"/>
      <c r="AHA23" s="145"/>
      <c r="AHB23" s="145"/>
      <c r="AHC23" s="145"/>
      <c r="AHD23" s="145"/>
      <c r="AHE23" s="145"/>
      <c r="AHF23" s="145"/>
      <c r="AHG23" s="145"/>
      <c r="AHH23" s="145"/>
      <c r="AHI23" s="145"/>
      <c r="AHJ23" s="145"/>
      <c r="AHK23" s="145"/>
      <c r="AHL23" s="145"/>
      <c r="AHM23" s="145"/>
      <c r="AHN23" s="145"/>
      <c r="AHO23" s="145"/>
      <c r="AHP23" s="145"/>
      <c r="AHQ23" s="145"/>
      <c r="AHR23" s="145"/>
      <c r="AHS23" s="145"/>
      <c r="AHT23" s="145"/>
      <c r="AHU23" s="145"/>
      <c r="AHV23" s="145"/>
      <c r="AHW23" s="145"/>
      <c r="AHX23" s="145"/>
      <c r="AHY23" s="145"/>
      <c r="AHZ23" s="145"/>
      <c r="AIA23" s="145"/>
      <c r="AIB23" s="145"/>
      <c r="AIC23" s="145"/>
      <c r="AID23" s="145"/>
      <c r="AIE23" s="145"/>
      <c r="AIF23" s="145"/>
      <c r="AIG23" s="145"/>
      <c r="AIH23" s="145"/>
      <c r="AII23" s="145"/>
      <c r="AIJ23" s="145"/>
      <c r="AIK23" s="145"/>
      <c r="AIL23" s="145"/>
      <c r="AIM23" s="145"/>
      <c r="AIN23" s="145"/>
      <c r="AIO23" s="145"/>
      <c r="AIP23" s="145"/>
      <c r="AIQ23" s="145"/>
      <c r="AIR23" s="145"/>
      <c r="AIS23" s="145"/>
      <c r="AIT23" s="145"/>
      <c r="AIU23" s="145"/>
      <c r="AIV23" s="145"/>
      <c r="AIW23" s="145"/>
      <c r="AIX23" s="145"/>
      <c r="AIY23" s="145"/>
      <c r="AIZ23" s="145"/>
      <c r="AJA23" s="145"/>
      <c r="AJB23" s="145"/>
      <c r="AJC23" s="145"/>
      <c r="AJD23" s="145"/>
      <c r="AJE23" s="145"/>
      <c r="AJF23" s="145"/>
      <c r="AJG23" s="145"/>
      <c r="AJH23" s="145"/>
      <c r="AJI23" s="145"/>
      <c r="AJJ23" s="145"/>
      <c r="AJK23" s="145"/>
      <c r="AJL23" s="145"/>
      <c r="AJM23" s="145"/>
      <c r="AJN23" s="145"/>
      <c r="AJO23" s="145"/>
      <c r="AJP23" s="145"/>
      <c r="AJQ23" s="145"/>
      <c r="AJR23" s="145"/>
      <c r="AJS23" s="145"/>
      <c r="AJT23" s="145"/>
      <c r="AJU23" s="145"/>
      <c r="AJV23" s="145"/>
      <c r="AJW23" s="145"/>
      <c r="AJX23" s="145"/>
      <c r="AJY23" s="145"/>
      <c r="AJZ23" s="145"/>
      <c r="AKA23" s="145"/>
      <c r="AKB23" s="145"/>
      <c r="AKC23" s="145"/>
      <c r="AKD23" s="145"/>
      <c r="AKE23" s="145"/>
      <c r="AKF23" s="145"/>
      <c r="AKG23" s="145"/>
      <c r="AKH23" s="145"/>
      <c r="AKI23" s="145"/>
      <c r="AKJ23" s="145"/>
      <c r="AKK23" s="145"/>
      <c r="AKL23" s="145"/>
      <c r="AKM23" s="145"/>
      <c r="AKN23" s="145"/>
      <c r="AKO23" s="145"/>
      <c r="AKP23" s="145"/>
      <c r="AKQ23" s="145"/>
      <c r="AKR23" s="145"/>
      <c r="AKS23" s="145"/>
      <c r="AKT23" s="145"/>
      <c r="AKU23" s="145"/>
      <c r="AKV23" s="145"/>
      <c r="AKW23" s="145"/>
      <c r="AKX23" s="145"/>
      <c r="AKY23" s="145"/>
      <c r="AKZ23" s="145"/>
      <c r="ALA23" s="145"/>
      <c r="ALB23" s="145"/>
      <c r="ALC23" s="145"/>
      <c r="ALD23" s="145"/>
      <c r="ALE23" s="145"/>
      <c r="ALF23" s="145"/>
      <c r="ALG23" s="145"/>
      <c r="ALH23" s="145"/>
      <c r="ALI23" s="145"/>
      <c r="ALJ23" s="145"/>
      <c r="ALK23" s="145"/>
      <c r="ALL23" s="145"/>
      <c r="ALM23" s="145"/>
      <c r="ALN23" s="145"/>
      <c r="ALO23" s="145"/>
      <c r="ALP23" s="145"/>
      <c r="ALQ23" s="145"/>
      <c r="ALR23" s="145"/>
      <c r="ALS23" s="145"/>
      <c r="ALT23" s="145"/>
      <c r="ALU23" s="145"/>
      <c r="ALV23" s="145"/>
      <c r="ALW23" s="145"/>
      <c r="ALX23" s="145"/>
      <c r="ALY23" s="145"/>
      <c r="ALZ23" s="145"/>
      <c r="AMA23" s="145"/>
      <c r="AMB23" s="145"/>
      <c r="AMC23" s="145"/>
      <c r="AMD23" s="145"/>
      <c r="AME23" s="145"/>
      <c r="AMF23" s="145"/>
      <c r="AMG23" s="145"/>
      <c r="AMH23" s="145"/>
      <c r="AMI23" s="145"/>
      <c r="AMJ23" s="462"/>
    </row>
    <row r="24" spans="1:1024" x14ac:dyDescent="0.2">
      <c r="A24" s="3"/>
      <c r="B24" s="6"/>
      <c r="C24" s="456"/>
      <c r="D24" s="6"/>
      <c r="E24" s="6"/>
      <c r="F24" s="6"/>
      <c r="G24" s="6"/>
      <c r="H24" s="6"/>
      <c r="I24" s="2"/>
      <c r="J24" s="2"/>
      <c r="K24" s="2"/>
      <c r="L24" s="2"/>
      <c r="M24" s="2"/>
      <c r="N24" s="2"/>
      <c r="O24" s="2"/>
      <c r="P24" s="3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</row>
    <row r="25" spans="1:1024" x14ac:dyDescent="0.2">
      <c r="A25" s="3"/>
      <c r="B25" s="6" t="s">
        <v>475</v>
      </c>
      <c r="C25" s="456"/>
      <c r="D25" s="6"/>
      <c r="E25" s="6"/>
      <c r="F25" s="6"/>
      <c r="G25" s="6"/>
      <c r="H25" s="6"/>
      <c r="I25" s="2"/>
      <c r="J25" s="2"/>
      <c r="K25" s="2"/>
      <c r="L25" s="2"/>
      <c r="M25" s="2"/>
      <c r="N25" s="2"/>
      <c r="O25" s="2"/>
      <c r="P25" s="3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</row>
    <row r="26" spans="1:1024" x14ac:dyDescent="0.2">
      <c r="A26" s="3"/>
      <c r="B26" s="6" t="s">
        <v>476</v>
      </c>
      <c r="C26" s="456" t="s">
        <v>477</v>
      </c>
      <c r="D26" s="6">
        <v>0</v>
      </c>
      <c r="E26" s="6">
        <v>0</v>
      </c>
      <c r="F26" s="6">
        <v>0</v>
      </c>
      <c r="G26" s="6"/>
      <c r="H26" s="6"/>
      <c r="I26" s="2"/>
      <c r="J26" s="2"/>
      <c r="K26" s="2"/>
      <c r="L26" s="2"/>
      <c r="M26" s="2"/>
      <c r="N26" s="2"/>
      <c r="O26" s="2"/>
      <c r="P26" s="3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</row>
    <row r="27" spans="1:1024" ht="15" x14ac:dyDescent="0.25">
      <c r="A27" s="143"/>
      <c r="B27" s="460"/>
      <c r="C27" s="110" t="s">
        <v>339</v>
      </c>
      <c r="D27" s="460">
        <f>SUM(D26)</f>
        <v>0</v>
      </c>
      <c r="E27" s="460">
        <f>SUM(E26)</f>
        <v>0</v>
      </c>
      <c r="F27" s="460">
        <f>SUM(F26)</f>
        <v>0</v>
      </c>
      <c r="G27" s="460"/>
      <c r="H27" s="460"/>
      <c r="I27" s="461"/>
      <c r="J27" s="461"/>
      <c r="K27" s="461"/>
      <c r="L27" s="461"/>
      <c r="M27" s="461"/>
      <c r="N27" s="461"/>
      <c r="O27" s="461"/>
      <c r="P27" s="143"/>
      <c r="Q27" s="144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  <c r="IW27" s="145"/>
      <c r="IX27" s="145"/>
      <c r="IY27" s="145"/>
      <c r="IZ27" s="145"/>
      <c r="JA27" s="145"/>
      <c r="JB27" s="145"/>
      <c r="JC27" s="145"/>
      <c r="JD27" s="145"/>
      <c r="JE27" s="145"/>
      <c r="JF27" s="145"/>
      <c r="JG27" s="145"/>
      <c r="JH27" s="145"/>
      <c r="JI27" s="145"/>
      <c r="JJ27" s="145"/>
      <c r="JK27" s="145"/>
      <c r="JL27" s="145"/>
      <c r="JM27" s="145"/>
      <c r="JN27" s="145"/>
      <c r="JO27" s="145"/>
      <c r="JP27" s="145"/>
      <c r="JQ27" s="145"/>
      <c r="JR27" s="145"/>
      <c r="JS27" s="145"/>
      <c r="JT27" s="145"/>
      <c r="JU27" s="145"/>
      <c r="JV27" s="145"/>
      <c r="JW27" s="145"/>
      <c r="JX27" s="145"/>
      <c r="JY27" s="145"/>
      <c r="JZ27" s="145"/>
      <c r="KA27" s="145"/>
      <c r="KB27" s="145"/>
      <c r="KC27" s="145"/>
      <c r="KD27" s="145"/>
      <c r="KE27" s="145"/>
      <c r="KF27" s="145"/>
      <c r="KG27" s="145"/>
      <c r="KH27" s="145"/>
      <c r="KI27" s="145"/>
      <c r="KJ27" s="145"/>
      <c r="KK27" s="145"/>
      <c r="KL27" s="145"/>
      <c r="KM27" s="145"/>
      <c r="KN27" s="145"/>
      <c r="KO27" s="145"/>
      <c r="KP27" s="145"/>
      <c r="KQ27" s="145"/>
      <c r="KR27" s="145"/>
      <c r="KS27" s="145"/>
      <c r="KT27" s="145"/>
      <c r="KU27" s="145"/>
      <c r="KV27" s="145"/>
      <c r="KW27" s="145"/>
      <c r="KX27" s="145"/>
      <c r="KY27" s="145"/>
      <c r="KZ27" s="145"/>
      <c r="LA27" s="145"/>
      <c r="LB27" s="145"/>
      <c r="LC27" s="145"/>
      <c r="LD27" s="145"/>
      <c r="LE27" s="145"/>
      <c r="LF27" s="145"/>
      <c r="LG27" s="145"/>
      <c r="LH27" s="145"/>
      <c r="LI27" s="145"/>
      <c r="LJ27" s="145"/>
      <c r="LK27" s="145"/>
      <c r="LL27" s="145"/>
      <c r="LM27" s="145"/>
      <c r="LN27" s="145"/>
      <c r="LO27" s="145"/>
      <c r="LP27" s="145"/>
      <c r="LQ27" s="145"/>
      <c r="LR27" s="145"/>
      <c r="LS27" s="145"/>
      <c r="LT27" s="145"/>
      <c r="LU27" s="145"/>
      <c r="LV27" s="145"/>
      <c r="LW27" s="145"/>
      <c r="LX27" s="145"/>
      <c r="LY27" s="145"/>
      <c r="LZ27" s="145"/>
      <c r="MA27" s="145"/>
      <c r="MB27" s="145"/>
      <c r="MC27" s="145"/>
      <c r="MD27" s="145"/>
      <c r="ME27" s="145"/>
      <c r="MF27" s="145"/>
      <c r="MG27" s="145"/>
      <c r="MH27" s="145"/>
      <c r="MI27" s="145"/>
      <c r="MJ27" s="145"/>
      <c r="MK27" s="145"/>
      <c r="ML27" s="145"/>
      <c r="MM27" s="145"/>
      <c r="MN27" s="145"/>
      <c r="MO27" s="145"/>
      <c r="MP27" s="145"/>
      <c r="MQ27" s="145"/>
      <c r="MR27" s="145"/>
      <c r="MS27" s="145"/>
      <c r="MT27" s="145"/>
      <c r="MU27" s="145"/>
      <c r="MV27" s="145"/>
      <c r="MW27" s="145"/>
      <c r="MX27" s="145"/>
      <c r="MY27" s="145"/>
      <c r="MZ27" s="145"/>
      <c r="NA27" s="145"/>
      <c r="NB27" s="145"/>
      <c r="NC27" s="145"/>
      <c r="ND27" s="145"/>
      <c r="NE27" s="145"/>
      <c r="NF27" s="145"/>
      <c r="NG27" s="145"/>
      <c r="NH27" s="145"/>
      <c r="NI27" s="145"/>
      <c r="NJ27" s="145"/>
      <c r="NK27" s="145"/>
      <c r="NL27" s="145"/>
      <c r="NM27" s="145"/>
      <c r="NN27" s="145"/>
      <c r="NO27" s="145"/>
      <c r="NP27" s="145"/>
      <c r="NQ27" s="145"/>
      <c r="NR27" s="145"/>
      <c r="NS27" s="145"/>
      <c r="NT27" s="145"/>
      <c r="NU27" s="145"/>
      <c r="NV27" s="145"/>
      <c r="NW27" s="145"/>
      <c r="NX27" s="145"/>
      <c r="NY27" s="145"/>
      <c r="NZ27" s="145"/>
      <c r="OA27" s="145"/>
      <c r="OB27" s="145"/>
      <c r="OC27" s="145"/>
      <c r="OD27" s="145"/>
      <c r="OE27" s="145"/>
      <c r="OF27" s="145"/>
      <c r="OG27" s="145"/>
      <c r="OH27" s="145"/>
      <c r="OI27" s="145"/>
      <c r="OJ27" s="145"/>
      <c r="OK27" s="145"/>
      <c r="OL27" s="145"/>
      <c r="OM27" s="145"/>
      <c r="ON27" s="145"/>
      <c r="OO27" s="145"/>
      <c r="OP27" s="145"/>
      <c r="OQ27" s="145"/>
      <c r="OR27" s="145"/>
      <c r="OS27" s="145"/>
      <c r="OT27" s="145"/>
      <c r="OU27" s="145"/>
      <c r="OV27" s="145"/>
      <c r="OW27" s="145"/>
      <c r="OX27" s="145"/>
      <c r="OY27" s="145"/>
      <c r="OZ27" s="145"/>
      <c r="PA27" s="145"/>
      <c r="PB27" s="145"/>
      <c r="PC27" s="145"/>
      <c r="PD27" s="145"/>
      <c r="PE27" s="145"/>
      <c r="PF27" s="145"/>
      <c r="PG27" s="145"/>
      <c r="PH27" s="145"/>
      <c r="PI27" s="145"/>
      <c r="PJ27" s="145"/>
      <c r="PK27" s="145"/>
      <c r="PL27" s="145"/>
      <c r="PM27" s="145"/>
      <c r="PN27" s="145"/>
      <c r="PO27" s="145"/>
      <c r="PP27" s="145"/>
      <c r="PQ27" s="145"/>
      <c r="PR27" s="145"/>
      <c r="PS27" s="145"/>
      <c r="PT27" s="145"/>
      <c r="PU27" s="145"/>
      <c r="PV27" s="145"/>
      <c r="PW27" s="145"/>
      <c r="PX27" s="145"/>
      <c r="PY27" s="145"/>
      <c r="PZ27" s="145"/>
      <c r="QA27" s="145"/>
      <c r="QB27" s="145"/>
      <c r="QC27" s="145"/>
      <c r="QD27" s="145"/>
      <c r="QE27" s="145"/>
      <c r="QF27" s="145"/>
      <c r="QG27" s="145"/>
      <c r="QH27" s="145"/>
      <c r="QI27" s="145"/>
      <c r="QJ27" s="145"/>
      <c r="QK27" s="145"/>
      <c r="QL27" s="145"/>
      <c r="QM27" s="145"/>
      <c r="QN27" s="145"/>
      <c r="QO27" s="145"/>
      <c r="QP27" s="145"/>
      <c r="QQ27" s="145"/>
      <c r="QR27" s="145"/>
      <c r="QS27" s="145"/>
      <c r="QT27" s="145"/>
      <c r="QU27" s="145"/>
      <c r="QV27" s="145"/>
      <c r="QW27" s="145"/>
      <c r="QX27" s="145"/>
      <c r="QY27" s="145"/>
      <c r="QZ27" s="145"/>
      <c r="RA27" s="145"/>
      <c r="RB27" s="145"/>
      <c r="RC27" s="145"/>
      <c r="RD27" s="145"/>
      <c r="RE27" s="145"/>
      <c r="RF27" s="145"/>
      <c r="RG27" s="145"/>
      <c r="RH27" s="145"/>
      <c r="RI27" s="145"/>
      <c r="RJ27" s="145"/>
      <c r="RK27" s="145"/>
      <c r="RL27" s="145"/>
      <c r="RM27" s="145"/>
      <c r="RN27" s="145"/>
      <c r="RO27" s="145"/>
      <c r="RP27" s="145"/>
      <c r="RQ27" s="145"/>
      <c r="RR27" s="145"/>
      <c r="RS27" s="145"/>
      <c r="RT27" s="145"/>
      <c r="RU27" s="145"/>
      <c r="RV27" s="145"/>
      <c r="RW27" s="145"/>
      <c r="RX27" s="145"/>
      <c r="RY27" s="145"/>
      <c r="RZ27" s="145"/>
      <c r="SA27" s="145"/>
      <c r="SB27" s="145"/>
      <c r="SC27" s="145"/>
      <c r="SD27" s="145"/>
      <c r="SE27" s="145"/>
      <c r="SF27" s="145"/>
      <c r="SG27" s="145"/>
      <c r="SH27" s="145"/>
      <c r="SI27" s="145"/>
      <c r="SJ27" s="145"/>
      <c r="SK27" s="145"/>
      <c r="SL27" s="145"/>
      <c r="SM27" s="145"/>
      <c r="SN27" s="145"/>
      <c r="SO27" s="145"/>
      <c r="SP27" s="145"/>
      <c r="SQ27" s="145"/>
      <c r="SR27" s="145"/>
      <c r="SS27" s="145"/>
      <c r="ST27" s="145"/>
      <c r="SU27" s="145"/>
      <c r="SV27" s="145"/>
      <c r="SW27" s="145"/>
      <c r="SX27" s="145"/>
      <c r="SY27" s="145"/>
      <c r="SZ27" s="145"/>
      <c r="TA27" s="145"/>
      <c r="TB27" s="145"/>
      <c r="TC27" s="145"/>
      <c r="TD27" s="145"/>
      <c r="TE27" s="145"/>
      <c r="TF27" s="145"/>
      <c r="TG27" s="145"/>
      <c r="TH27" s="145"/>
      <c r="TI27" s="145"/>
      <c r="TJ27" s="145"/>
      <c r="TK27" s="145"/>
      <c r="TL27" s="145"/>
      <c r="TM27" s="145"/>
      <c r="TN27" s="145"/>
      <c r="TO27" s="145"/>
      <c r="TP27" s="145"/>
      <c r="TQ27" s="145"/>
      <c r="TR27" s="145"/>
      <c r="TS27" s="145"/>
      <c r="TT27" s="145"/>
      <c r="TU27" s="145"/>
      <c r="TV27" s="145"/>
      <c r="TW27" s="145"/>
      <c r="TX27" s="145"/>
      <c r="TY27" s="145"/>
      <c r="TZ27" s="145"/>
      <c r="UA27" s="145"/>
      <c r="UB27" s="145"/>
      <c r="UC27" s="145"/>
      <c r="UD27" s="145"/>
      <c r="UE27" s="145"/>
      <c r="UF27" s="145"/>
      <c r="UG27" s="145"/>
      <c r="UH27" s="145"/>
      <c r="UI27" s="145"/>
      <c r="UJ27" s="145"/>
      <c r="UK27" s="145"/>
      <c r="UL27" s="145"/>
      <c r="UM27" s="145"/>
      <c r="UN27" s="145"/>
      <c r="UO27" s="145"/>
      <c r="UP27" s="145"/>
      <c r="UQ27" s="145"/>
      <c r="UR27" s="145"/>
      <c r="US27" s="145"/>
      <c r="UT27" s="145"/>
      <c r="UU27" s="145"/>
      <c r="UV27" s="145"/>
      <c r="UW27" s="145"/>
      <c r="UX27" s="145"/>
      <c r="UY27" s="145"/>
      <c r="UZ27" s="145"/>
      <c r="VA27" s="145"/>
      <c r="VB27" s="145"/>
      <c r="VC27" s="145"/>
      <c r="VD27" s="145"/>
      <c r="VE27" s="145"/>
      <c r="VF27" s="145"/>
      <c r="VG27" s="145"/>
      <c r="VH27" s="145"/>
      <c r="VI27" s="145"/>
      <c r="VJ27" s="145"/>
      <c r="VK27" s="145"/>
      <c r="VL27" s="145"/>
      <c r="VM27" s="145"/>
      <c r="VN27" s="145"/>
      <c r="VO27" s="145"/>
      <c r="VP27" s="145"/>
      <c r="VQ27" s="145"/>
      <c r="VR27" s="145"/>
      <c r="VS27" s="145"/>
      <c r="VT27" s="145"/>
      <c r="VU27" s="145"/>
      <c r="VV27" s="145"/>
      <c r="VW27" s="145"/>
      <c r="VX27" s="145"/>
      <c r="VY27" s="145"/>
      <c r="VZ27" s="145"/>
      <c r="WA27" s="145"/>
      <c r="WB27" s="145"/>
      <c r="WC27" s="145"/>
      <c r="WD27" s="145"/>
      <c r="WE27" s="145"/>
      <c r="WF27" s="145"/>
      <c r="WG27" s="145"/>
      <c r="WH27" s="145"/>
      <c r="WI27" s="145"/>
      <c r="WJ27" s="145"/>
      <c r="WK27" s="145"/>
      <c r="WL27" s="145"/>
      <c r="WM27" s="145"/>
      <c r="WN27" s="145"/>
      <c r="WO27" s="145"/>
      <c r="WP27" s="145"/>
      <c r="WQ27" s="145"/>
      <c r="WR27" s="145"/>
      <c r="WS27" s="145"/>
      <c r="WT27" s="145"/>
      <c r="WU27" s="145"/>
      <c r="WV27" s="145"/>
      <c r="WW27" s="145"/>
      <c r="WX27" s="145"/>
      <c r="WY27" s="145"/>
      <c r="WZ27" s="145"/>
      <c r="XA27" s="145"/>
      <c r="XB27" s="145"/>
      <c r="XC27" s="145"/>
      <c r="XD27" s="145"/>
      <c r="XE27" s="145"/>
      <c r="XF27" s="145"/>
      <c r="XG27" s="145"/>
      <c r="XH27" s="145"/>
      <c r="XI27" s="145"/>
      <c r="XJ27" s="145"/>
      <c r="XK27" s="145"/>
      <c r="XL27" s="145"/>
      <c r="XM27" s="145"/>
      <c r="XN27" s="145"/>
      <c r="XO27" s="145"/>
      <c r="XP27" s="145"/>
      <c r="XQ27" s="145"/>
      <c r="XR27" s="145"/>
      <c r="XS27" s="145"/>
      <c r="XT27" s="145"/>
      <c r="XU27" s="145"/>
      <c r="XV27" s="145"/>
      <c r="XW27" s="145"/>
      <c r="XX27" s="145"/>
      <c r="XY27" s="145"/>
      <c r="XZ27" s="145"/>
      <c r="YA27" s="145"/>
      <c r="YB27" s="145"/>
      <c r="YC27" s="145"/>
      <c r="YD27" s="145"/>
      <c r="YE27" s="145"/>
      <c r="YF27" s="145"/>
      <c r="YG27" s="145"/>
      <c r="YH27" s="145"/>
      <c r="YI27" s="145"/>
      <c r="YJ27" s="145"/>
      <c r="YK27" s="145"/>
      <c r="YL27" s="145"/>
      <c r="YM27" s="145"/>
      <c r="YN27" s="145"/>
      <c r="YO27" s="145"/>
      <c r="YP27" s="145"/>
      <c r="YQ27" s="145"/>
      <c r="YR27" s="145"/>
      <c r="YS27" s="145"/>
      <c r="YT27" s="145"/>
      <c r="YU27" s="145"/>
      <c r="YV27" s="145"/>
      <c r="YW27" s="145"/>
      <c r="YX27" s="145"/>
      <c r="YY27" s="145"/>
      <c r="YZ27" s="145"/>
      <c r="ZA27" s="145"/>
      <c r="ZB27" s="145"/>
      <c r="ZC27" s="145"/>
      <c r="ZD27" s="145"/>
      <c r="ZE27" s="145"/>
      <c r="ZF27" s="145"/>
      <c r="ZG27" s="145"/>
      <c r="ZH27" s="145"/>
      <c r="ZI27" s="145"/>
      <c r="ZJ27" s="145"/>
      <c r="ZK27" s="145"/>
      <c r="ZL27" s="145"/>
      <c r="ZM27" s="145"/>
      <c r="ZN27" s="145"/>
      <c r="ZO27" s="145"/>
      <c r="ZP27" s="145"/>
      <c r="ZQ27" s="145"/>
      <c r="ZR27" s="145"/>
      <c r="ZS27" s="145"/>
      <c r="ZT27" s="145"/>
      <c r="ZU27" s="145"/>
      <c r="ZV27" s="145"/>
      <c r="ZW27" s="145"/>
      <c r="ZX27" s="145"/>
      <c r="ZY27" s="145"/>
      <c r="ZZ27" s="145"/>
      <c r="AAA27" s="145"/>
      <c r="AAB27" s="145"/>
      <c r="AAC27" s="145"/>
      <c r="AAD27" s="145"/>
      <c r="AAE27" s="145"/>
      <c r="AAF27" s="145"/>
      <c r="AAG27" s="145"/>
      <c r="AAH27" s="145"/>
      <c r="AAI27" s="145"/>
      <c r="AAJ27" s="145"/>
      <c r="AAK27" s="145"/>
      <c r="AAL27" s="145"/>
      <c r="AAM27" s="145"/>
      <c r="AAN27" s="145"/>
      <c r="AAO27" s="145"/>
      <c r="AAP27" s="145"/>
      <c r="AAQ27" s="145"/>
      <c r="AAR27" s="145"/>
      <c r="AAS27" s="145"/>
      <c r="AAT27" s="145"/>
      <c r="AAU27" s="145"/>
      <c r="AAV27" s="145"/>
      <c r="AAW27" s="145"/>
      <c r="AAX27" s="145"/>
      <c r="AAY27" s="145"/>
      <c r="AAZ27" s="145"/>
      <c r="ABA27" s="145"/>
      <c r="ABB27" s="145"/>
      <c r="ABC27" s="145"/>
      <c r="ABD27" s="145"/>
      <c r="ABE27" s="145"/>
      <c r="ABF27" s="145"/>
      <c r="ABG27" s="145"/>
      <c r="ABH27" s="145"/>
      <c r="ABI27" s="145"/>
      <c r="ABJ27" s="145"/>
      <c r="ABK27" s="145"/>
      <c r="ABL27" s="145"/>
      <c r="ABM27" s="145"/>
      <c r="ABN27" s="145"/>
      <c r="ABO27" s="145"/>
      <c r="ABP27" s="145"/>
      <c r="ABQ27" s="145"/>
      <c r="ABR27" s="145"/>
      <c r="ABS27" s="145"/>
      <c r="ABT27" s="145"/>
      <c r="ABU27" s="145"/>
      <c r="ABV27" s="145"/>
      <c r="ABW27" s="145"/>
      <c r="ABX27" s="145"/>
      <c r="ABY27" s="145"/>
      <c r="ABZ27" s="145"/>
      <c r="ACA27" s="145"/>
      <c r="ACB27" s="145"/>
      <c r="ACC27" s="145"/>
      <c r="ACD27" s="145"/>
      <c r="ACE27" s="145"/>
      <c r="ACF27" s="145"/>
      <c r="ACG27" s="145"/>
      <c r="ACH27" s="145"/>
      <c r="ACI27" s="145"/>
      <c r="ACJ27" s="145"/>
      <c r="ACK27" s="145"/>
      <c r="ACL27" s="145"/>
      <c r="ACM27" s="145"/>
      <c r="ACN27" s="145"/>
      <c r="ACO27" s="145"/>
      <c r="ACP27" s="145"/>
      <c r="ACQ27" s="145"/>
      <c r="ACR27" s="145"/>
      <c r="ACS27" s="145"/>
      <c r="ACT27" s="145"/>
      <c r="ACU27" s="145"/>
      <c r="ACV27" s="145"/>
      <c r="ACW27" s="145"/>
      <c r="ACX27" s="145"/>
      <c r="ACY27" s="145"/>
      <c r="ACZ27" s="145"/>
      <c r="ADA27" s="145"/>
      <c r="ADB27" s="145"/>
      <c r="ADC27" s="145"/>
      <c r="ADD27" s="145"/>
      <c r="ADE27" s="145"/>
      <c r="ADF27" s="145"/>
      <c r="ADG27" s="145"/>
      <c r="ADH27" s="145"/>
      <c r="ADI27" s="145"/>
      <c r="ADJ27" s="145"/>
      <c r="ADK27" s="145"/>
      <c r="ADL27" s="145"/>
      <c r="ADM27" s="145"/>
      <c r="ADN27" s="145"/>
      <c r="ADO27" s="145"/>
      <c r="ADP27" s="145"/>
      <c r="ADQ27" s="145"/>
      <c r="ADR27" s="145"/>
      <c r="ADS27" s="145"/>
      <c r="ADT27" s="145"/>
      <c r="ADU27" s="145"/>
      <c r="ADV27" s="145"/>
      <c r="ADW27" s="145"/>
      <c r="ADX27" s="145"/>
      <c r="ADY27" s="145"/>
      <c r="ADZ27" s="145"/>
      <c r="AEA27" s="145"/>
      <c r="AEB27" s="145"/>
      <c r="AEC27" s="145"/>
      <c r="AED27" s="145"/>
      <c r="AEE27" s="145"/>
      <c r="AEF27" s="145"/>
      <c r="AEG27" s="145"/>
      <c r="AEH27" s="145"/>
      <c r="AEI27" s="145"/>
      <c r="AEJ27" s="145"/>
      <c r="AEK27" s="145"/>
      <c r="AEL27" s="145"/>
      <c r="AEM27" s="145"/>
      <c r="AEN27" s="145"/>
      <c r="AEO27" s="145"/>
      <c r="AEP27" s="145"/>
      <c r="AEQ27" s="145"/>
      <c r="AER27" s="145"/>
      <c r="AES27" s="145"/>
      <c r="AET27" s="145"/>
      <c r="AEU27" s="145"/>
      <c r="AEV27" s="145"/>
      <c r="AEW27" s="145"/>
      <c r="AEX27" s="145"/>
      <c r="AEY27" s="145"/>
      <c r="AEZ27" s="145"/>
      <c r="AFA27" s="145"/>
      <c r="AFB27" s="145"/>
      <c r="AFC27" s="145"/>
      <c r="AFD27" s="145"/>
      <c r="AFE27" s="145"/>
      <c r="AFF27" s="145"/>
      <c r="AFG27" s="145"/>
      <c r="AFH27" s="145"/>
      <c r="AFI27" s="145"/>
      <c r="AFJ27" s="145"/>
      <c r="AFK27" s="145"/>
      <c r="AFL27" s="145"/>
      <c r="AFM27" s="145"/>
      <c r="AFN27" s="145"/>
      <c r="AFO27" s="145"/>
      <c r="AFP27" s="145"/>
      <c r="AFQ27" s="145"/>
      <c r="AFR27" s="145"/>
      <c r="AFS27" s="145"/>
      <c r="AFT27" s="145"/>
      <c r="AFU27" s="145"/>
      <c r="AFV27" s="145"/>
      <c r="AFW27" s="145"/>
      <c r="AFX27" s="145"/>
      <c r="AFY27" s="145"/>
      <c r="AFZ27" s="145"/>
      <c r="AGA27" s="145"/>
      <c r="AGB27" s="145"/>
      <c r="AGC27" s="145"/>
      <c r="AGD27" s="145"/>
      <c r="AGE27" s="145"/>
      <c r="AGF27" s="145"/>
      <c r="AGG27" s="145"/>
      <c r="AGH27" s="145"/>
      <c r="AGI27" s="145"/>
      <c r="AGJ27" s="145"/>
      <c r="AGK27" s="145"/>
      <c r="AGL27" s="145"/>
      <c r="AGM27" s="145"/>
      <c r="AGN27" s="145"/>
      <c r="AGO27" s="145"/>
      <c r="AGP27" s="145"/>
      <c r="AGQ27" s="145"/>
      <c r="AGR27" s="145"/>
      <c r="AGS27" s="145"/>
      <c r="AGT27" s="145"/>
      <c r="AGU27" s="145"/>
      <c r="AGV27" s="145"/>
      <c r="AGW27" s="145"/>
      <c r="AGX27" s="145"/>
      <c r="AGY27" s="145"/>
      <c r="AGZ27" s="145"/>
      <c r="AHA27" s="145"/>
      <c r="AHB27" s="145"/>
      <c r="AHC27" s="145"/>
      <c r="AHD27" s="145"/>
      <c r="AHE27" s="145"/>
      <c r="AHF27" s="145"/>
      <c r="AHG27" s="145"/>
      <c r="AHH27" s="145"/>
      <c r="AHI27" s="145"/>
      <c r="AHJ27" s="145"/>
      <c r="AHK27" s="145"/>
      <c r="AHL27" s="145"/>
      <c r="AHM27" s="145"/>
      <c r="AHN27" s="145"/>
      <c r="AHO27" s="145"/>
      <c r="AHP27" s="145"/>
      <c r="AHQ27" s="145"/>
      <c r="AHR27" s="145"/>
      <c r="AHS27" s="145"/>
      <c r="AHT27" s="145"/>
      <c r="AHU27" s="145"/>
      <c r="AHV27" s="145"/>
      <c r="AHW27" s="145"/>
      <c r="AHX27" s="145"/>
      <c r="AHY27" s="145"/>
      <c r="AHZ27" s="145"/>
      <c r="AIA27" s="145"/>
      <c r="AIB27" s="145"/>
      <c r="AIC27" s="145"/>
      <c r="AID27" s="145"/>
      <c r="AIE27" s="145"/>
      <c r="AIF27" s="145"/>
      <c r="AIG27" s="145"/>
      <c r="AIH27" s="145"/>
      <c r="AII27" s="145"/>
      <c r="AIJ27" s="145"/>
      <c r="AIK27" s="145"/>
      <c r="AIL27" s="145"/>
      <c r="AIM27" s="145"/>
      <c r="AIN27" s="145"/>
      <c r="AIO27" s="145"/>
      <c r="AIP27" s="145"/>
      <c r="AIQ27" s="145"/>
      <c r="AIR27" s="145"/>
      <c r="AIS27" s="145"/>
      <c r="AIT27" s="145"/>
      <c r="AIU27" s="145"/>
      <c r="AIV27" s="145"/>
      <c r="AIW27" s="145"/>
      <c r="AIX27" s="145"/>
      <c r="AIY27" s="145"/>
      <c r="AIZ27" s="145"/>
      <c r="AJA27" s="145"/>
      <c r="AJB27" s="145"/>
      <c r="AJC27" s="145"/>
      <c r="AJD27" s="145"/>
      <c r="AJE27" s="145"/>
      <c r="AJF27" s="145"/>
      <c r="AJG27" s="145"/>
      <c r="AJH27" s="145"/>
      <c r="AJI27" s="145"/>
      <c r="AJJ27" s="145"/>
      <c r="AJK27" s="145"/>
      <c r="AJL27" s="145"/>
      <c r="AJM27" s="145"/>
      <c r="AJN27" s="145"/>
      <c r="AJO27" s="145"/>
      <c r="AJP27" s="145"/>
      <c r="AJQ27" s="145"/>
      <c r="AJR27" s="145"/>
      <c r="AJS27" s="145"/>
      <c r="AJT27" s="145"/>
      <c r="AJU27" s="145"/>
      <c r="AJV27" s="145"/>
      <c r="AJW27" s="145"/>
      <c r="AJX27" s="145"/>
      <c r="AJY27" s="145"/>
      <c r="AJZ27" s="145"/>
      <c r="AKA27" s="145"/>
      <c r="AKB27" s="145"/>
      <c r="AKC27" s="145"/>
      <c r="AKD27" s="145"/>
      <c r="AKE27" s="145"/>
      <c r="AKF27" s="145"/>
      <c r="AKG27" s="145"/>
      <c r="AKH27" s="145"/>
      <c r="AKI27" s="145"/>
      <c r="AKJ27" s="145"/>
      <c r="AKK27" s="145"/>
      <c r="AKL27" s="145"/>
      <c r="AKM27" s="145"/>
      <c r="AKN27" s="145"/>
      <c r="AKO27" s="145"/>
      <c r="AKP27" s="145"/>
      <c r="AKQ27" s="145"/>
      <c r="AKR27" s="145"/>
      <c r="AKS27" s="145"/>
      <c r="AKT27" s="145"/>
      <c r="AKU27" s="145"/>
      <c r="AKV27" s="145"/>
      <c r="AKW27" s="145"/>
      <c r="AKX27" s="145"/>
      <c r="AKY27" s="145"/>
      <c r="AKZ27" s="145"/>
      <c r="ALA27" s="145"/>
      <c r="ALB27" s="145"/>
      <c r="ALC27" s="145"/>
      <c r="ALD27" s="145"/>
      <c r="ALE27" s="145"/>
      <c r="ALF27" s="145"/>
      <c r="ALG27" s="145"/>
      <c r="ALH27" s="145"/>
      <c r="ALI27" s="145"/>
      <c r="ALJ27" s="145"/>
      <c r="ALK27" s="145"/>
      <c r="ALL27" s="145"/>
      <c r="ALM27" s="145"/>
      <c r="ALN27" s="145"/>
      <c r="ALO27" s="145"/>
      <c r="ALP27" s="145"/>
      <c r="ALQ27" s="145"/>
      <c r="ALR27" s="145"/>
      <c r="ALS27" s="145"/>
      <c r="ALT27" s="145"/>
      <c r="ALU27" s="145"/>
      <c r="ALV27" s="145"/>
      <c r="ALW27" s="145"/>
      <c r="ALX27" s="145"/>
      <c r="ALY27" s="145"/>
      <c r="ALZ27" s="145"/>
      <c r="AMA27" s="145"/>
      <c r="AMB27" s="145"/>
      <c r="AMC27" s="145"/>
      <c r="AMD27" s="145"/>
      <c r="AME27" s="145"/>
      <c r="AMF27" s="145"/>
      <c r="AMG27" s="145"/>
      <c r="AMH27" s="145"/>
      <c r="AMI27" s="145"/>
      <c r="AMJ27" s="462"/>
    </row>
    <row r="28" spans="1:1024" x14ac:dyDescent="0.2">
      <c r="A28" s="3"/>
      <c r="B28" s="6"/>
      <c r="C28" s="456"/>
      <c r="D28" s="6"/>
      <c r="E28" s="6"/>
      <c r="F28" s="6"/>
      <c r="G28" s="6"/>
      <c r="H28" s="6"/>
      <c r="I28" s="2"/>
      <c r="J28" s="2"/>
      <c r="K28" s="2"/>
      <c r="L28" s="2"/>
      <c r="M28" s="2"/>
      <c r="N28" s="2"/>
      <c r="O28" s="2"/>
      <c r="P28" s="3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</row>
    <row r="29" spans="1:1024" x14ac:dyDescent="0.2">
      <c r="A29" s="3"/>
      <c r="B29" s="6"/>
      <c r="C29" s="456"/>
      <c r="D29" s="6"/>
      <c r="E29" s="6"/>
      <c r="F29" s="6"/>
      <c r="G29" s="6"/>
      <c r="H29" s="6"/>
      <c r="I29" s="2"/>
      <c r="J29" s="2"/>
      <c r="K29" s="2"/>
      <c r="L29" s="2"/>
      <c r="M29" s="2"/>
      <c r="N29" s="2"/>
      <c r="O29" s="2"/>
      <c r="P29" s="3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</row>
    <row r="30" spans="1:1024" ht="15" x14ac:dyDescent="0.25">
      <c r="A30" s="143"/>
      <c r="B30" s="460"/>
      <c r="C30" s="110" t="s">
        <v>314</v>
      </c>
      <c r="D30" s="460">
        <f>D12+D17-D23-D27</f>
        <v>-1563</v>
      </c>
      <c r="E30" s="460">
        <f>E12+E17-E23-E27</f>
        <v>0</v>
      </c>
      <c r="F30" s="460">
        <f>F12+F17-F23-F27</f>
        <v>0</v>
      </c>
      <c r="G30" s="460"/>
      <c r="H30" s="460"/>
      <c r="I30" s="461"/>
      <c r="J30" s="461"/>
      <c r="K30" s="461"/>
      <c r="L30" s="461"/>
      <c r="M30" s="461"/>
      <c r="N30" s="461"/>
      <c r="O30" s="461"/>
      <c r="P30" s="143"/>
      <c r="Q30" s="144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  <c r="IW30" s="145"/>
      <c r="IX30" s="145"/>
      <c r="IY30" s="145"/>
      <c r="IZ30" s="145"/>
      <c r="JA30" s="145"/>
      <c r="JB30" s="145"/>
      <c r="JC30" s="145"/>
      <c r="JD30" s="145"/>
      <c r="JE30" s="145"/>
      <c r="JF30" s="145"/>
      <c r="JG30" s="145"/>
      <c r="JH30" s="145"/>
      <c r="JI30" s="145"/>
      <c r="JJ30" s="145"/>
      <c r="JK30" s="145"/>
      <c r="JL30" s="145"/>
      <c r="JM30" s="145"/>
      <c r="JN30" s="145"/>
      <c r="JO30" s="145"/>
      <c r="JP30" s="145"/>
      <c r="JQ30" s="145"/>
      <c r="JR30" s="145"/>
      <c r="JS30" s="145"/>
      <c r="JT30" s="145"/>
      <c r="JU30" s="145"/>
      <c r="JV30" s="145"/>
      <c r="JW30" s="145"/>
      <c r="JX30" s="145"/>
      <c r="JY30" s="145"/>
      <c r="JZ30" s="145"/>
      <c r="KA30" s="145"/>
      <c r="KB30" s="145"/>
      <c r="KC30" s="145"/>
      <c r="KD30" s="145"/>
      <c r="KE30" s="145"/>
      <c r="KF30" s="145"/>
      <c r="KG30" s="145"/>
      <c r="KH30" s="145"/>
      <c r="KI30" s="145"/>
      <c r="KJ30" s="145"/>
      <c r="KK30" s="145"/>
      <c r="KL30" s="145"/>
      <c r="KM30" s="145"/>
      <c r="KN30" s="145"/>
      <c r="KO30" s="145"/>
      <c r="KP30" s="145"/>
      <c r="KQ30" s="145"/>
      <c r="KR30" s="145"/>
      <c r="KS30" s="145"/>
      <c r="KT30" s="145"/>
      <c r="KU30" s="145"/>
      <c r="KV30" s="145"/>
      <c r="KW30" s="145"/>
      <c r="KX30" s="145"/>
      <c r="KY30" s="145"/>
      <c r="KZ30" s="145"/>
      <c r="LA30" s="145"/>
      <c r="LB30" s="145"/>
      <c r="LC30" s="145"/>
      <c r="LD30" s="145"/>
      <c r="LE30" s="145"/>
      <c r="LF30" s="145"/>
      <c r="LG30" s="145"/>
      <c r="LH30" s="145"/>
      <c r="LI30" s="145"/>
      <c r="LJ30" s="145"/>
      <c r="LK30" s="145"/>
      <c r="LL30" s="145"/>
      <c r="LM30" s="145"/>
      <c r="LN30" s="145"/>
      <c r="LO30" s="145"/>
      <c r="LP30" s="145"/>
      <c r="LQ30" s="145"/>
      <c r="LR30" s="145"/>
      <c r="LS30" s="145"/>
      <c r="LT30" s="145"/>
      <c r="LU30" s="145"/>
      <c r="LV30" s="145"/>
      <c r="LW30" s="145"/>
      <c r="LX30" s="145"/>
      <c r="LY30" s="145"/>
      <c r="LZ30" s="145"/>
      <c r="MA30" s="145"/>
      <c r="MB30" s="145"/>
      <c r="MC30" s="145"/>
      <c r="MD30" s="145"/>
      <c r="ME30" s="145"/>
      <c r="MF30" s="145"/>
      <c r="MG30" s="145"/>
      <c r="MH30" s="145"/>
      <c r="MI30" s="145"/>
      <c r="MJ30" s="145"/>
      <c r="MK30" s="145"/>
      <c r="ML30" s="145"/>
      <c r="MM30" s="145"/>
      <c r="MN30" s="145"/>
      <c r="MO30" s="145"/>
      <c r="MP30" s="145"/>
      <c r="MQ30" s="145"/>
      <c r="MR30" s="145"/>
      <c r="MS30" s="145"/>
      <c r="MT30" s="145"/>
      <c r="MU30" s="145"/>
      <c r="MV30" s="145"/>
      <c r="MW30" s="145"/>
      <c r="MX30" s="145"/>
      <c r="MY30" s="145"/>
      <c r="MZ30" s="145"/>
      <c r="NA30" s="145"/>
      <c r="NB30" s="145"/>
      <c r="NC30" s="145"/>
      <c r="ND30" s="145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5"/>
      <c r="NX30" s="145"/>
      <c r="NY30" s="145"/>
      <c r="NZ30" s="145"/>
      <c r="OA30" s="145"/>
      <c r="OB30" s="145"/>
      <c r="OC30" s="145"/>
      <c r="OD30" s="145"/>
      <c r="OE30" s="145"/>
      <c r="OF30" s="145"/>
      <c r="OG30" s="145"/>
      <c r="OH30" s="145"/>
      <c r="OI30" s="145"/>
      <c r="OJ30" s="145"/>
      <c r="OK30" s="145"/>
      <c r="OL30" s="145"/>
      <c r="OM30" s="145"/>
      <c r="ON30" s="145"/>
      <c r="OO30" s="145"/>
      <c r="OP30" s="145"/>
      <c r="OQ30" s="145"/>
      <c r="OR30" s="145"/>
      <c r="OS30" s="145"/>
      <c r="OT30" s="145"/>
      <c r="OU30" s="145"/>
      <c r="OV30" s="145"/>
      <c r="OW30" s="145"/>
      <c r="OX30" s="145"/>
      <c r="OY30" s="145"/>
      <c r="OZ30" s="145"/>
      <c r="PA30" s="145"/>
      <c r="PB30" s="145"/>
      <c r="PC30" s="145"/>
      <c r="PD30" s="145"/>
      <c r="PE30" s="145"/>
      <c r="PF30" s="145"/>
      <c r="PG30" s="145"/>
      <c r="PH30" s="145"/>
      <c r="PI30" s="145"/>
      <c r="PJ30" s="145"/>
      <c r="PK30" s="145"/>
      <c r="PL30" s="145"/>
      <c r="PM30" s="145"/>
      <c r="PN30" s="145"/>
      <c r="PO30" s="145"/>
      <c r="PP30" s="145"/>
      <c r="PQ30" s="145"/>
      <c r="PR30" s="145"/>
      <c r="PS30" s="145"/>
      <c r="PT30" s="145"/>
      <c r="PU30" s="145"/>
      <c r="PV30" s="145"/>
      <c r="PW30" s="145"/>
      <c r="PX30" s="145"/>
      <c r="PY30" s="145"/>
      <c r="PZ30" s="145"/>
      <c r="QA30" s="145"/>
      <c r="QB30" s="145"/>
      <c r="QC30" s="145"/>
      <c r="QD30" s="145"/>
      <c r="QE30" s="145"/>
      <c r="QF30" s="145"/>
      <c r="QG30" s="145"/>
      <c r="QH30" s="145"/>
      <c r="QI30" s="145"/>
      <c r="QJ30" s="145"/>
      <c r="QK30" s="145"/>
      <c r="QL30" s="145"/>
      <c r="QM30" s="145"/>
      <c r="QN30" s="145"/>
      <c r="QO30" s="145"/>
      <c r="QP30" s="145"/>
      <c r="QQ30" s="145"/>
      <c r="QR30" s="145"/>
      <c r="QS30" s="145"/>
      <c r="QT30" s="145"/>
      <c r="QU30" s="145"/>
      <c r="QV30" s="145"/>
      <c r="QW30" s="145"/>
      <c r="QX30" s="145"/>
      <c r="QY30" s="145"/>
      <c r="QZ30" s="145"/>
      <c r="RA30" s="145"/>
      <c r="RB30" s="145"/>
      <c r="RC30" s="145"/>
      <c r="RD30" s="145"/>
      <c r="RE30" s="145"/>
      <c r="RF30" s="145"/>
      <c r="RG30" s="145"/>
      <c r="RH30" s="145"/>
      <c r="RI30" s="145"/>
      <c r="RJ30" s="145"/>
      <c r="RK30" s="145"/>
      <c r="RL30" s="145"/>
      <c r="RM30" s="145"/>
      <c r="RN30" s="145"/>
      <c r="RO30" s="145"/>
      <c r="RP30" s="145"/>
      <c r="RQ30" s="145"/>
      <c r="RR30" s="145"/>
      <c r="RS30" s="145"/>
      <c r="RT30" s="145"/>
      <c r="RU30" s="145"/>
      <c r="RV30" s="145"/>
      <c r="RW30" s="145"/>
      <c r="RX30" s="145"/>
      <c r="RY30" s="145"/>
      <c r="RZ30" s="145"/>
      <c r="SA30" s="145"/>
      <c r="SB30" s="145"/>
      <c r="SC30" s="145"/>
      <c r="SD30" s="145"/>
      <c r="SE30" s="145"/>
      <c r="SF30" s="145"/>
      <c r="SG30" s="145"/>
      <c r="SH30" s="145"/>
      <c r="SI30" s="145"/>
      <c r="SJ30" s="145"/>
      <c r="SK30" s="145"/>
      <c r="SL30" s="145"/>
      <c r="SM30" s="145"/>
      <c r="SN30" s="145"/>
      <c r="SO30" s="145"/>
      <c r="SP30" s="145"/>
      <c r="SQ30" s="145"/>
      <c r="SR30" s="145"/>
      <c r="SS30" s="145"/>
      <c r="ST30" s="145"/>
      <c r="SU30" s="145"/>
      <c r="SV30" s="145"/>
      <c r="SW30" s="145"/>
      <c r="SX30" s="145"/>
      <c r="SY30" s="145"/>
      <c r="SZ30" s="145"/>
      <c r="TA30" s="145"/>
      <c r="TB30" s="145"/>
      <c r="TC30" s="145"/>
      <c r="TD30" s="145"/>
      <c r="TE30" s="145"/>
      <c r="TF30" s="145"/>
      <c r="TG30" s="145"/>
      <c r="TH30" s="145"/>
      <c r="TI30" s="145"/>
      <c r="TJ30" s="145"/>
      <c r="TK30" s="145"/>
      <c r="TL30" s="145"/>
      <c r="TM30" s="145"/>
      <c r="TN30" s="145"/>
      <c r="TO30" s="145"/>
      <c r="TP30" s="145"/>
      <c r="TQ30" s="145"/>
      <c r="TR30" s="145"/>
      <c r="TS30" s="145"/>
      <c r="TT30" s="145"/>
      <c r="TU30" s="145"/>
      <c r="TV30" s="145"/>
      <c r="TW30" s="145"/>
      <c r="TX30" s="145"/>
      <c r="TY30" s="145"/>
      <c r="TZ30" s="145"/>
      <c r="UA30" s="145"/>
      <c r="UB30" s="145"/>
      <c r="UC30" s="145"/>
      <c r="UD30" s="145"/>
      <c r="UE30" s="145"/>
      <c r="UF30" s="145"/>
      <c r="UG30" s="145"/>
      <c r="UH30" s="145"/>
      <c r="UI30" s="145"/>
      <c r="UJ30" s="145"/>
      <c r="UK30" s="145"/>
      <c r="UL30" s="145"/>
      <c r="UM30" s="145"/>
      <c r="UN30" s="145"/>
      <c r="UO30" s="145"/>
      <c r="UP30" s="145"/>
      <c r="UQ30" s="145"/>
      <c r="UR30" s="145"/>
      <c r="US30" s="145"/>
      <c r="UT30" s="145"/>
      <c r="UU30" s="145"/>
      <c r="UV30" s="145"/>
      <c r="UW30" s="145"/>
      <c r="UX30" s="145"/>
      <c r="UY30" s="145"/>
      <c r="UZ30" s="145"/>
      <c r="VA30" s="145"/>
      <c r="VB30" s="145"/>
      <c r="VC30" s="145"/>
      <c r="VD30" s="145"/>
      <c r="VE30" s="145"/>
      <c r="VF30" s="145"/>
      <c r="VG30" s="145"/>
      <c r="VH30" s="145"/>
      <c r="VI30" s="145"/>
      <c r="VJ30" s="145"/>
      <c r="VK30" s="145"/>
      <c r="VL30" s="145"/>
      <c r="VM30" s="145"/>
      <c r="VN30" s="145"/>
      <c r="VO30" s="145"/>
      <c r="VP30" s="145"/>
      <c r="VQ30" s="145"/>
      <c r="VR30" s="145"/>
      <c r="VS30" s="145"/>
      <c r="VT30" s="145"/>
      <c r="VU30" s="145"/>
      <c r="VV30" s="145"/>
      <c r="VW30" s="145"/>
      <c r="VX30" s="145"/>
      <c r="VY30" s="145"/>
      <c r="VZ30" s="145"/>
      <c r="WA30" s="145"/>
      <c r="WB30" s="145"/>
      <c r="WC30" s="145"/>
      <c r="WD30" s="145"/>
      <c r="WE30" s="145"/>
      <c r="WF30" s="145"/>
      <c r="WG30" s="145"/>
      <c r="WH30" s="145"/>
      <c r="WI30" s="145"/>
      <c r="WJ30" s="145"/>
      <c r="WK30" s="145"/>
      <c r="WL30" s="145"/>
      <c r="WM30" s="145"/>
      <c r="WN30" s="145"/>
      <c r="WO30" s="145"/>
      <c r="WP30" s="145"/>
      <c r="WQ30" s="145"/>
      <c r="WR30" s="145"/>
      <c r="WS30" s="145"/>
      <c r="WT30" s="145"/>
      <c r="WU30" s="145"/>
      <c r="WV30" s="145"/>
      <c r="WW30" s="145"/>
      <c r="WX30" s="145"/>
      <c r="WY30" s="145"/>
      <c r="WZ30" s="145"/>
      <c r="XA30" s="145"/>
      <c r="XB30" s="145"/>
      <c r="XC30" s="145"/>
      <c r="XD30" s="145"/>
      <c r="XE30" s="145"/>
      <c r="XF30" s="145"/>
      <c r="XG30" s="145"/>
      <c r="XH30" s="145"/>
      <c r="XI30" s="145"/>
      <c r="XJ30" s="145"/>
      <c r="XK30" s="145"/>
      <c r="XL30" s="145"/>
      <c r="XM30" s="145"/>
      <c r="XN30" s="145"/>
      <c r="XO30" s="145"/>
      <c r="XP30" s="145"/>
      <c r="XQ30" s="145"/>
      <c r="XR30" s="145"/>
      <c r="XS30" s="145"/>
      <c r="XT30" s="145"/>
      <c r="XU30" s="145"/>
      <c r="XV30" s="145"/>
      <c r="XW30" s="145"/>
      <c r="XX30" s="145"/>
      <c r="XY30" s="145"/>
      <c r="XZ30" s="145"/>
      <c r="YA30" s="145"/>
      <c r="YB30" s="145"/>
      <c r="YC30" s="145"/>
      <c r="YD30" s="145"/>
      <c r="YE30" s="145"/>
      <c r="YF30" s="145"/>
      <c r="YG30" s="145"/>
      <c r="YH30" s="145"/>
      <c r="YI30" s="145"/>
      <c r="YJ30" s="145"/>
      <c r="YK30" s="145"/>
      <c r="YL30" s="145"/>
      <c r="YM30" s="145"/>
      <c r="YN30" s="145"/>
      <c r="YO30" s="145"/>
      <c r="YP30" s="145"/>
      <c r="YQ30" s="145"/>
      <c r="YR30" s="145"/>
      <c r="YS30" s="145"/>
      <c r="YT30" s="145"/>
      <c r="YU30" s="145"/>
      <c r="YV30" s="145"/>
      <c r="YW30" s="145"/>
      <c r="YX30" s="145"/>
      <c r="YY30" s="145"/>
      <c r="YZ30" s="145"/>
      <c r="ZA30" s="145"/>
      <c r="ZB30" s="145"/>
      <c r="ZC30" s="145"/>
      <c r="ZD30" s="145"/>
      <c r="ZE30" s="145"/>
      <c r="ZF30" s="145"/>
      <c r="ZG30" s="145"/>
      <c r="ZH30" s="145"/>
      <c r="ZI30" s="145"/>
      <c r="ZJ30" s="145"/>
      <c r="ZK30" s="145"/>
      <c r="ZL30" s="145"/>
      <c r="ZM30" s="145"/>
      <c r="ZN30" s="145"/>
      <c r="ZO30" s="145"/>
      <c r="ZP30" s="145"/>
      <c r="ZQ30" s="145"/>
      <c r="ZR30" s="145"/>
      <c r="ZS30" s="145"/>
      <c r="ZT30" s="145"/>
      <c r="ZU30" s="145"/>
      <c r="ZV30" s="145"/>
      <c r="ZW30" s="145"/>
      <c r="ZX30" s="145"/>
      <c r="ZY30" s="145"/>
      <c r="ZZ30" s="145"/>
      <c r="AAA30" s="145"/>
      <c r="AAB30" s="145"/>
      <c r="AAC30" s="145"/>
      <c r="AAD30" s="145"/>
      <c r="AAE30" s="145"/>
      <c r="AAF30" s="145"/>
      <c r="AAG30" s="145"/>
      <c r="AAH30" s="145"/>
      <c r="AAI30" s="145"/>
      <c r="AAJ30" s="145"/>
      <c r="AAK30" s="145"/>
      <c r="AAL30" s="145"/>
      <c r="AAM30" s="145"/>
      <c r="AAN30" s="145"/>
      <c r="AAO30" s="145"/>
      <c r="AAP30" s="145"/>
      <c r="AAQ30" s="145"/>
      <c r="AAR30" s="145"/>
      <c r="AAS30" s="145"/>
      <c r="AAT30" s="145"/>
      <c r="AAU30" s="145"/>
      <c r="AAV30" s="145"/>
      <c r="AAW30" s="145"/>
      <c r="AAX30" s="145"/>
      <c r="AAY30" s="145"/>
      <c r="AAZ30" s="145"/>
      <c r="ABA30" s="145"/>
      <c r="ABB30" s="145"/>
      <c r="ABC30" s="145"/>
      <c r="ABD30" s="145"/>
      <c r="ABE30" s="145"/>
      <c r="ABF30" s="145"/>
      <c r="ABG30" s="145"/>
      <c r="ABH30" s="145"/>
      <c r="ABI30" s="145"/>
      <c r="ABJ30" s="145"/>
      <c r="ABK30" s="145"/>
      <c r="ABL30" s="145"/>
      <c r="ABM30" s="145"/>
      <c r="ABN30" s="145"/>
      <c r="ABO30" s="145"/>
      <c r="ABP30" s="145"/>
      <c r="ABQ30" s="145"/>
      <c r="ABR30" s="145"/>
      <c r="ABS30" s="145"/>
      <c r="ABT30" s="145"/>
      <c r="ABU30" s="145"/>
      <c r="ABV30" s="145"/>
      <c r="ABW30" s="145"/>
      <c r="ABX30" s="145"/>
      <c r="ABY30" s="145"/>
      <c r="ABZ30" s="145"/>
      <c r="ACA30" s="145"/>
      <c r="ACB30" s="145"/>
      <c r="ACC30" s="145"/>
      <c r="ACD30" s="145"/>
      <c r="ACE30" s="145"/>
      <c r="ACF30" s="145"/>
      <c r="ACG30" s="145"/>
      <c r="ACH30" s="145"/>
      <c r="ACI30" s="145"/>
      <c r="ACJ30" s="145"/>
      <c r="ACK30" s="145"/>
      <c r="ACL30" s="145"/>
      <c r="ACM30" s="145"/>
      <c r="ACN30" s="145"/>
      <c r="ACO30" s="145"/>
      <c r="ACP30" s="145"/>
      <c r="ACQ30" s="145"/>
      <c r="ACR30" s="145"/>
      <c r="ACS30" s="145"/>
      <c r="ACT30" s="145"/>
      <c r="ACU30" s="145"/>
      <c r="ACV30" s="145"/>
      <c r="ACW30" s="145"/>
      <c r="ACX30" s="145"/>
      <c r="ACY30" s="145"/>
      <c r="ACZ30" s="145"/>
      <c r="ADA30" s="145"/>
      <c r="ADB30" s="145"/>
      <c r="ADC30" s="145"/>
      <c r="ADD30" s="145"/>
      <c r="ADE30" s="145"/>
      <c r="ADF30" s="145"/>
      <c r="ADG30" s="145"/>
      <c r="ADH30" s="145"/>
      <c r="ADI30" s="145"/>
      <c r="ADJ30" s="145"/>
      <c r="ADK30" s="145"/>
      <c r="ADL30" s="145"/>
      <c r="ADM30" s="145"/>
      <c r="ADN30" s="145"/>
      <c r="ADO30" s="145"/>
      <c r="ADP30" s="145"/>
      <c r="ADQ30" s="145"/>
      <c r="ADR30" s="145"/>
      <c r="ADS30" s="145"/>
      <c r="ADT30" s="145"/>
      <c r="ADU30" s="145"/>
      <c r="ADV30" s="145"/>
      <c r="ADW30" s="145"/>
      <c r="ADX30" s="145"/>
      <c r="ADY30" s="145"/>
      <c r="ADZ30" s="145"/>
      <c r="AEA30" s="145"/>
      <c r="AEB30" s="145"/>
      <c r="AEC30" s="145"/>
      <c r="AED30" s="145"/>
      <c r="AEE30" s="145"/>
      <c r="AEF30" s="145"/>
      <c r="AEG30" s="145"/>
      <c r="AEH30" s="145"/>
      <c r="AEI30" s="145"/>
      <c r="AEJ30" s="145"/>
      <c r="AEK30" s="145"/>
      <c r="AEL30" s="145"/>
      <c r="AEM30" s="145"/>
      <c r="AEN30" s="145"/>
      <c r="AEO30" s="145"/>
      <c r="AEP30" s="145"/>
      <c r="AEQ30" s="145"/>
      <c r="AER30" s="145"/>
      <c r="AES30" s="145"/>
      <c r="AET30" s="145"/>
      <c r="AEU30" s="145"/>
      <c r="AEV30" s="145"/>
      <c r="AEW30" s="145"/>
      <c r="AEX30" s="145"/>
      <c r="AEY30" s="145"/>
      <c r="AEZ30" s="145"/>
      <c r="AFA30" s="145"/>
      <c r="AFB30" s="145"/>
      <c r="AFC30" s="145"/>
      <c r="AFD30" s="145"/>
      <c r="AFE30" s="145"/>
      <c r="AFF30" s="145"/>
      <c r="AFG30" s="145"/>
      <c r="AFH30" s="145"/>
      <c r="AFI30" s="145"/>
      <c r="AFJ30" s="145"/>
      <c r="AFK30" s="145"/>
      <c r="AFL30" s="145"/>
      <c r="AFM30" s="145"/>
      <c r="AFN30" s="145"/>
      <c r="AFO30" s="145"/>
      <c r="AFP30" s="145"/>
      <c r="AFQ30" s="145"/>
      <c r="AFR30" s="145"/>
      <c r="AFS30" s="145"/>
      <c r="AFT30" s="145"/>
      <c r="AFU30" s="145"/>
      <c r="AFV30" s="145"/>
      <c r="AFW30" s="145"/>
      <c r="AFX30" s="145"/>
      <c r="AFY30" s="145"/>
      <c r="AFZ30" s="145"/>
      <c r="AGA30" s="145"/>
      <c r="AGB30" s="145"/>
      <c r="AGC30" s="145"/>
      <c r="AGD30" s="145"/>
      <c r="AGE30" s="145"/>
      <c r="AGF30" s="145"/>
      <c r="AGG30" s="145"/>
      <c r="AGH30" s="145"/>
      <c r="AGI30" s="145"/>
      <c r="AGJ30" s="145"/>
      <c r="AGK30" s="145"/>
      <c r="AGL30" s="145"/>
      <c r="AGM30" s="145"/>
      <c r="AGN30" s="145"/>
      <c r="AGO30" s="145"/>
      <c r="AGP30" s="145"/>
      <c r="AGQ30" s="145"/>
      <c r="AGR30" s="145"/>
      <c r="AGS30" s="145"/>
      <c r="AGT30" s="145"/>
      <c r="AGU30" s="145"/>
      <c r="AGV30" s="145"/>
      <c r="AGW30" s="145"/>
      <c r="AGX30" s="145"/>
      <c r="AGY30" s="145"/>
      <c r="AGZ30" s="145"/>
      <c r="AHA30" s="145"/>
      <c r="AHB30" s="145"/>
      <c r="AHC30" s="145"/>
      <c r="AHD30" s="145"/>
      <c r="AHE30" s="145"/>
      <c r="AHF30" s="145"/>
      <c r="AHG30" s="145"/>
      <c r="AHH30" s="145"/>
      <c r="AHI30" s="145"/>
      <c r="AHJ30" s="145"/>
      <c r="AHK30" s="145"/>
      <c r="AHL30" s="145"/>
      <c r="AHM30" s="145"/>
      <c r="AHN30" s="145"/>
      <c r="AHO30" s="145"/>
      <c r="AHP30" s="145"/>
      <c r="AHQ30" s="145"/>
      <c r="AHR30" s="145"/>
      <c r="AHS30" s="145"/>
      <c r="AHT30" s="145"/>
      <c r="AHU30" s="145"/>
      <c r="AHV30" s="145"/>
      <c r="AHW30" s="145"/>
      <c r="AHX30" s="145"/>
      <c r="AHY30" s="145"/>
      <c r="AHZ30" s="145"/>
      <c r="AIA30" s="145"/>
      <c r="AIB30" s="145"/>
      <c r="AIC30" s="145"/>
      <c r="AID30" s="145"/>
      <c r="AIE30" s="145"/>
      <c r="AIF30" s="145"/>
      <c r="AIG30" s="145"/>
      <c r="AIH30" s="145"/>
      <c r="AII30" s="145"/>
      <c r="AIJ30" s="145"/>
      <c r="AIK30" s="145"/>
      <c r="AIL30" s="145"/>
      <c r="AIM30" s="145"/>
      <c r="AIN30" s="145"/>
      <c r="AIO30" s="145"/>
      <c r="AIP30" s="145"/>
      <c r="AIQ30" s="145"/>
      <c r="AIR30" s="145"/>
      <c r="AIS30" s="145"/>
      <c r="AIT30" s="145"/>
      <c r="AIU30" s="145"/>
      <c r="AIV30" s="145"/>
      <c r="AIW30" s="145"/>
      <c r="AIX30" s="145"/>
      <c r="AIY30" s="145"/>
      <c r="AIZ30" s="145"/>
      <c r="AJA30" s="145"/>
      <c r="AJB30" s="145"/>
      <c r="AJC30" s="145"/>
      <c r="AJD30" s="145"/>
      <c r="AJE30" s="145"/>
      <c r="AJF30" s="145"/>
      <c r="AJG30" s="145"/>
      <c r="AJH30" s="145"/>
      <c r="AJI30" s="145"/>
      <c r="AJJ30" s="145"/>
      <c r="AJK30" s="145"/>
      <c r="AJL30" s="145"/>
      <c r="AJM30" s="145"/>
      <c r="AJN30" s="145"/>
      <c r="AJO30" s="145"/>
      <c r="AJP30" s="145"/>
      <c r="AJQ30" s="145"/>
      <c r="AJR30" s="145"/>
      <c r="AJS30" s="145"/>
      <c r="AJT30" s="145"/>
      <c r="AJU30" s="145"/>
      <c r="AJV30" s="145"/>
      <c r="AJW30" s="145"/>
      <c r="AJX30" s="145"/>
      <c r="AJY30" s="145"/>
      <c r="AJZ30" s="145"/>
      <c r="AKA30" s="145"/>
      <c r="AKB30" s="145"/>
      <c r="AKC30" s="145"/>
      <c r="AKD30" s="145"/>
      <c r="AKE30" s="145"/>
      <c r="AKF30" s="145"/>
      <c r="AKG30" s="145"/>
      <c r="AKH30" s="145"/>
      <c r="AKI30" s="145"/>
      <c r="AKJ30" s="145"/>
      <c r="AKK30" s="145"/>
      <c r="AKL30" s="145"/>
      <c r="AKM30" s="145"/>
      <c r="AKN30" s="145"/>
      <c r="AKO30" s="145"/>
      <c r="AKP30" s="145"/>
      <c r="AKQ30" s="145"/>
      <c r="AKR30" s="145"/>
      <c r="AKS30" s="145"/>
      <c r="AKT30" s="145"/>
      <c r="AKU30" s="145"/>
      <c r="AKV30" s="145"/>
      <c r="AKW30" s="145"/>
      <c r="AKX30" s="145"/>
      <c r="AKY30" s="145"/>
      <c r="AKZ30" s="145"/>
      <c r="ALA30" s="145"/>
      <c r="ALB30" s="145"/>
      <c r="ALC30" s="145"/>
      <c r="ALD30" s="145"/>
      <c r="ALE30" s="145"/>
      <c r="ALF30" s="145"/>
      <c r="ALG30" s="145"/>
      <c r="ALH30" s="145"/>
      <c r="ALI30" s="145"/>
      <c r="ALJ30" s="145"/>
      <c r="ALK30" s="145"/>
      <c r="ALL30" s="145"/>
      <c r="ALM30" s="145"/>
      <c r="ALN30" s="145"/>
      <c r="ALO30" s="145"/>
      <c r="ALP30" s="145"/>
      <c r="ALQ30" s="145"/>
      <c r="ALR30" s="145"/>
      <c r="ALS30" s="145"/>
      <c r="ALT30" s="145"/>
      <c r="ALU30" s="145"/>
      <c r="ALV30" s="145"/>
      <c r="ALW30" s="145"/>
      <c r="ALX30" s="145"/>
      <c r="ALY30" s="145"/>
      <c r="ALZ30" s="145"/>
      <c r="AMA30" s="145"/>
      <c r="AMB30" s="145"/>
      <c r="AMC30" s="145"/>
      <c r="AMD30" s="145"/>
      <c r="AME30" s="145"/>
      <c r="AMF30" s="145"/>
      <c r="AMG30" s="145"/>
      <c r="AMH30" s="145"/>
      <c r="AMI30" s="145"/>
      <c r="AMJ30" s="462"/>
    </row>
    <row r="31" spans="1:1024" x14ac:dyDescent="0.2">
      <c r="A31" s="3"/>
      <c r="B31" s="6"/>
      <c r="C31" s="456"/>
      <c r="D31" s="6"/>
      <c r="E31" s="6"/>
      <c r="F31" s="6"/>
      <c r="G31" s="6"/>
      <c r="H31" s="6"/>
      <c r="I31" s="2"/>
      <c r="J31" s="2"/>
      <c r="K31" s="2"/>
      <c r="L31" s="2"/>
      <c r="M31" s="2"/>
      <c r="N31" s="2"/>
      <c r="O31" s="2"/>
      <c r="P31" s="3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</row>
    <row r="32" spans="1:1024" x14ac:dyDescent="0.2">
      <c r="A32" s="3"/>
      <c r="B32" s="6"/>
      <c r="C32" s="456"/>
      <c r="D32" s="6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3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</row>
    <row r="33" spans="1:1023" x14ac:dyDescent="0.2">
      <c r="A33" s="3"/>
      <c r="B33" s="6"/>
      <c r="C33" s="456"/>
      <c r="D33" s="6"/>
      <c r="E33" s="6"/>
      <c r="F33" s="6"/>
      <c r="G33" s="6"/>
      <c r="H33" s="6"/>
      <c r="I33" s="2"/>
      <c r="J33" s="2"/>
      <c r="K33" s="2"/>
      <c r="L33" s="2"/>
      <c r="M33" s="2"/>
      <c r="N33" s="2"/>
      <c r="O33" s="2"/>
      <c r="P33" s="3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</row>
    <row r="34" spans="1:1023" x14ac:dyDescent="0.2">
      <c r="A34" s="3"/>
      <c r="B34" s="2"/>
      <c r="C34" s="46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</row>
    <row r="35" spans="1:1023" x14ac:dyDescent="0.2">
      <c r="A35" s="3"/>
      <c r="B35" s="2"/>
      <c r="C35" s="46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</row>
    <row r="36" spans="1:1023" x14ac:dyDescent="0.2">
      <c r="A36" s="3"/>
      <c r="B36" s="2"/>
      <c r="C36" s="46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</row>
    <row r="37" spans="1:1023" x14ac:dyDescent="0.2">
      <c r="A37" s="3"/>
      <c r="B37" s="2"/>
      <c r="C37" s="46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</row>
    <row r="38" spans="1:1023" x14ac:dyDescent="0.2">
      <c r="A38" s="3"/>
      <c r="B38" s="2"/>
      <c r="C38" s="46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</row>
    <row r="39" spans="1:1023" x14ac:dyDescent="0.2">
      <c r="A39" s="3"/>
      <c r="B39" s="2"/>
      <c r="C39" s="46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</row>
    <row r="40" spans="1:1023" x14ac:dyDescent="0.2">
      <c r="A40" s="3"/>
      <c r="B40" s="2"/>
      <c r="C40" s="46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</row>
    <row r="41" spans="1:1023" x14ac:dyDescent="0.2">
      <c r="A41" s="3"/>
      <c r="B41" s="2"/>
      <c r="C41" s="46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</row>
    <row r="42" spans="1:1023" x14ac:dyDescent="0.2">
      <c r="A42" s="3"/>
      <c r="B42" s="2"/>
      <c r="C42" s="46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</row>
    <row r="43" spans="1:1023" x14ac:dyDescent="0.2">
      <c r="A43" s="3"/>
      <c r="B43" s="10"/>
      <c r="C43" s="464"/>
      <c r="D43" s="751">
        <v>2013</v>
      </c>
      <c r="E43" s="751"/>
      <c r="F43" s="751">
        <v>2014</v>
      </c>
      <c r="G43" s="751"/>
      <c r="H43" s="775"/>
      <c r="I43" s="775"/>
      <c r="J43" s="465"/>
      <c r="K43" s="10"/>
      <c r="L43" s="10"/>
      <c r="M43" s="751">
        <v>2017</v>
      </c>
      <c r="N43" s="751"/>
      <c r="O43" s="455">
        <v>2018</v>
      </c>
      <c r="P43" s="3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</row>
    <row r="44" spans="1:1023" s="16" customFormat="1" ht="13.5" customHeight="1" x14ac:dyDescent="0.2">
      <c r="A44" s="14"/>
      <c r="B44" s="466" t="s">
        <v>2</v>
      </c>
      <c r="C44" s="467" t="s">
        <v>3</v>
      </c>
      <c r="D44" s="466" t="s">
        <v>4</v>
      </c>
      <c r="E44" s="466" t="s">
        <v>5</v>
      </c>
      <c r="F44" s="466" t="s">
        <v>4</v>
      </c>
      <c r="G44" s="466" t="s">
        <v>5</v>
      </c>
      <c r="H44" s="458"/>
      <c r="I44" s="458"/>
      <c r="J44" s="458"/>
      <c r="K44" s="468">
        <v>2016</v>
      </c>
      <c r="L44" s="458"/>
      <c r="M44" s="457" t="s">
        <v>456</v>
      </c>
      <c r="N44" s="458" t="s">
        <v>8</v>
      </c>
      <c r="O44" s="459" t="s">
        <v>6</v>
      </c>
      <c r="P44" s="14"/>
      <c r="Q44" s="15"/>
    </row>
    <row r="45" spans="1:1023" x14ac:dyDescent="0.2">
      <c r="A45" s="3"/>
      <c r="B45" s="10" t="s">
        <v>466</v>
      </c>
      <c r="C45" s="464" t="s">
        <v>478</v>
      </c>
      <c r="D45" s="10"/>
      <c r="E45" s="10"/>
      <c r="F45" s="10"/>
      <c r="G45" s="10"/>
      <c r="H45" s="10"/>
      <c r="I45" s="10"/>
      <c r="J45" s="10"/>
      <c r="K45" s="469"/>
      <c r="L45" s="302"/>
      <c r="M45" s="205">
        <v>10721</v>
      </c>
      <c r="N45" s="10">
        <v>10721</v>
      </c>
      <c r="O45" s="206"/>
      <c r="P45" s="3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</row>
    <row r="46" spans="1:1023" x14ac:dyDescent="0.2">
      <c r="A46" s="3"/>
      <c r="B46" s="10" t="s">
        <v>479</v>
      </c>
      <c r="C46" s="464" t="s">
        <v>480</v>
      </c>
      <c r="D46" s="10"/>
      <c r="E46" s="10"/>
      <c r="F46" s="10"/>
      <c r="G46" s="10"/>
      <c r="H46" s="10"/>
      <c r="I46" s="10"/>
      <c r="J46" s="10"/>
      <c r="K46" s="469"/>
      <c r="L46" s="302"/>
      <c r="M46" s="205">
        <v>68856</v>
      </c>
      <c r="N46" s="10">
        <v>68856</v>
      </c>
      <c r="O46" s="206"/>
      <c r="P46" s="3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</row>
    <row r="47" spans="1:1023" s="145" customFormat="1" ht="12.75" x14ac:dyDescent="0.2">
      <c r="A47" s="143"/>
      <c r="B47" s="301"/>
      <c r="C47" s="470" t="s">
        <v>481</v>
      </c>
      <c r="D47" s="301"/>
      <c r="E47" s="301"/>
      <c r="F47" s="301"/>
      <c r="G47" s="301"/>
      <c r="H47" s="301"/>
      <c r="I47" s="301"/>
      <c r="J47" s="301"/>
      <c r="K47" s="263">
        <f>SUM(K45:K46)</f>
        <v>0</v>
      </c>
      <c r="L47" s="471"/>
      <c r="M47" s="266">
        <f>SUM(M45:M46)</f>
        <v>79577</v>
      </c>
      <c r="N47" s="301">
        <f>SUM(N45:N46)</f>
        <v>79577</v>
      </c>
      <c r="O47" s="267"/>
      <c r="P47" s="143"/>
      <c r="Q47" s="144"/>
    </row>
    <row r="48" spans="1:1023" x14ac:dyDescent="0.2">
      <c r="A48" s="3"/>
      <c r="B48" s="10"/>
      <c r="C48" s="464"/>
      <c r="D48" s="10"/>
      <c r="E48" s="10"/>
      <c r="F48" s="10"/>
      <c r="G48" s="10"/>
      <c r="H48" s="10"/>
      <c r="I48" s="10"/>
      <c r="J48" s="10"/>
      <c r="K48" s="472"/>
      <c r="L48" s="302"/>
      <c r="M48" s="303"/>
      <c r="N48" s="10"/>
      <c r="O48" s="206"/>
      <c r="P48" s="3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</row>
    <row r="49" spans="1:1023" x14ac:dyDescent="0.2">
      <c r="A49" s="3"/>
      <c r="B49" s="10" t="s">
        <v>482</v>
      </c>
      <c r="C49" s="464" t="s">
        <v>483</v>
      </c>
      <c r="D49" s="10"/>
      <c r="E49" s="10"/>
      <c r="F49" s="10"/>
      <c r="G49" s="10"/>
      <c r="H49" s="10"/>
      <c r="I49" s="10"/>
      <c r="J49" s="10"/>
      <c r="K49" s="469"/>
      <c r="L49" s="302"/>
      <c r="M49" s="205">
        <v>1574</v>
      </c>
      <c r="N49" s="10">
        <v>1574</v>
      </c>
      <c r="O49" s="206"/>
      <c r="P49" s="3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</row>
    <row r="50" spans="1:1023" x14ac:dyDescent="0.2">
      <c r="A50" s="3"/>
      <c r="B50" s="10" t="s">
        <v>484</v>
      </c>
      <c r="C50" s="464" t="s">
        <v>485</v>
      </c>
      <c r="D50" s="10"/>
      <c r="E50" s="10"/>
      <c r="F50" s="10"/>
      <c r="G50" s="10"/>
      <c r="H50" s="10"/>
      <c r="I50" s="10"/>
      <c r="J50" s="10"/>
      <c r="K50" s="469"/>
      <c r="L50" s="302"/>
      <c r="M50" s="205">
        <v>5168</v>
      </c>
      <c r="N50" s="10">
        <v>5168</v>
      </c>
      <c r="O50" s="206"/>
      <c r="P50" s="3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</row>
    <row r="51" spans="1:1023" s="145" customFormat="1" ht="12.75" x14ac:dyDescent="0.2">
      <c r="A51" s="143"/>
      <c r="B51" s="301"/>
      <c r="C51" s="470" t="s">
        <v>486</v>
      </c>
      <c r="D51" s="301"/>
      <c r="E51" s="301"/>
      <c r="F51" s="301"/>
      <c r="G51" s="301"/>
      <c r="H51" s="301"/>
      <c r="I51" s="301"/>
      <c r="J51" s="301"/>
      <c r="K51" s="263">
        <f>SUM(K49:K50)</f>
        <v>0</v>
      </c>
      <c r="L51" s="301"/>
      <c r="M51" s="266">
        <f>SUM(M49:M50)</f>
        <v>6742</v>
      </c>
      <c r="N51" s="301">
        <f>SUM(N49:N50)</f>
        <v>6742</v>
      </c>
      <c r="O51" s="267"/>
      <c r="P51" s="143"/>
      <c r="Q51" s="144"/>
    </row>
    <row r="52" spans="1:1023" x14ac:dyDescent="0.2">
      <c r="A52" s="3"/>
      <c r="B52" s="10"/>
      <c r="C52" s="464"/>
      <c r="D52" s="10"/>
      <c r="E52" s="10"/>
      <c r="F52" s="10"/>
      <c r="G52" s="10"/>
      <c r="H52" s="10"/>
      <c r="I52" s="10"/>
      <c r="J52" s="10"/>
      <c r="K52" s="472"/>
      <c r="L52" s="302"/>
      <c r="M52" s="303"/>
      <c r="N52" s="10"/>
      <c r="O52" s="206"/>
      <c r="P52" s="3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</row>
    <row r="53" spans="1:1023" x14ac:dyDescent="0.2">
      <c r="A53" s="3"/>
      <c r="B53" s="10" t="s">
        <v>487</v>
      </c>
      <c r="C53" s="464" t="s">
        <v>488</v>
      </c>
      <c r="D53" s="10"/>
      <c r="E53" s="10"/>
      <c r="F53" s="10"/>
      <c r="G53" s="10"/>
      <c r="H53" s="10"/>
      <c r="I53" s="10"/>
      <c r="J53" s="10"/>
      <c r="K53" s="469"/>
      <c r="L53" s="302"/>
      <c r="M53" s="205">
        <v>75973</v>
      </c>
      <c r="N53" s="10">
        <v>75973</v>
      </c>
      <c r="O53" s="206"/>
      <c r="P53" s="3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</row>
    <row r="54" spans="1:1023" x14ac:dyDescent="0.2">
      <c r="A54" s="3"/>
      <c r="B54" s="10"/>
      <c r="C54" s="464" t="s">
        <v>489</v>
      </c>
      <c r="D54" s="10"/>
      <c r="E54" s="10"/>
      <c r="F54" s="10"/>
      <c r="G54" s="10"/>
      <c r="H54" s="10"/>
      <c r="I54" s="10"/>
      <c r="J54" s="10"/>
      <c r="K54" s="469"/>
      <c r="L54" s="302"/>
      <c r="M54" s="10">
        <f>M61-M70</f>
        <v>-1564</v>
      </c>
      <c r="N54" s="10">
        <f>N61-N70</f>
        <v>-1564</v>
      </c>
      <c r="O54" s="206"/>
      <c r="P54" s="3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</row>
    <row r="55" spans="1:1023" x14ac:dyDescent="0.2">
      <c r="A55" s="3"/>
      <c r="B55" s="49"/>
      <c r="C55" s="470" t="s">
        <v>490</v>
      </c>
      <c r="D55" s="10"/>
      <c r="E55" s="10"/>
      <c r="F55" s="10"/>
      <c r="G55" s="10"/>
      <c r="H55" s="10"/>
      <c r="I55" s="10"/>
      <c r="J55" s="10"/>
      <c r="K55" s="263">
        <f>SUM(K50:K54)</f>
        <v>0</v>
      </c>
      <c r="L55" s="302"/>
      <c r="M55" s="266">
        <f>SUM(M53+M54)</f>
        <v>74409</v>
      </c>
      <c r="N55" s="301">
        <f>SUM(N53:N54)</f>
        <v>74409</v>
      </c>
      <c r="O55" s="206"/>
      <c r="P55" s="3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</row>
    <row r="56" spans="1:1023" x14ac:dyDescent="0.2">
      <c r="A56" s="3"/>
      <c r="B56" s="10"/>
      <c r="C56" s="464"/>
      <c r="D56" s="10"/>
      <c r="E56" s="10"/>
      <c r="F56" s="10"/>
      <c r="G56" s="10"/>
      <c r="H56" s="10"/>
      <c r="I56" s="10"/>
      <c r="J56" s="10"/>
      <c r="K56" s="472"/>
      <c r="L56" s="302"/>
      <c r="M56" s="303"/>
      <c r="N56" s="10"/>
      <c r="O56" s="206"/>
      <c r="P56" s="3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</row>
    <row r="57" spans="1:1023" x14ac:dyDescent="0.2">
      <c r="A57" s="3"/>
      <c r="B57" s="10" t="s">
        <v>458</v>
      </c>
      <c r="C57" s="464" t="s">
        <v>491</v>
      </c>
      <c r="D57" s="10"/>
      <c r="E57" s="10"/>
      <c r="F57" s="10"/>
      <c r="G57" s="10"/>
      <c r="H57" s="10"/>
      <c r="I57" s="10"/>
      <c r="J57" s="10"/>
      <c r="K57" s="472"/>
      <c r="L57" s="302"/>
      <c r="M57" s="205">
        <v>0</v>
      </c>
      <c r="N57" s="10">
        <v>0</v>
      </c>
      <c r="O57" s="206"/>
      <c r="P57" s="3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</row>
    <row r="58" spans="1:1023" x14ac:dyDescent="0.2">
      <c r="A58" s="3"/>
      <c r="B58" s="10" t="s">
        <v>460</v>
      </c>
      <c r="C58" s="464" t="s">
        <v>461</v>
      </c>
      <c r="D58" s="10"/>
      <c r="E58" s="10"/>
      <c r="F58" s="10"/>
      <c r="G58" s="10"/>
      <c r="H58" s="10"/>
      <c r="I58" s="10"/>
      <c r="J58" s="10"/>
      <c r="K58" s="469"/>
      <c r="L58" s="302"/>
      <c r="M58" s="205">
        <v>10</v>
      </c>
      <c r="N58" s="10">
        <v>10</v>
      </c>
      <c r="O58" s="206"/>
      <c r="P58" s="3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</row>
    <row r="59" spans="1:1023" x14ac:dyDescent="0.2">
      <c r="A59" s="3"/>
      <c r="B59" s="10" t="s">
        <v>462</v>
      </c>
      <c r="C59" s="464" t="s">
        <v>463</v>
      </c>
      <c r="D59" s="10"/>
      <c r="E59" s="10"/>
      <c r="F59" s="10"/>
      <c r="G59" s="10"/>
      <c r="H59" s="10"/>
      <c r="I59" s="10"/>
      <c r="J59" s="10"/>
      <c r="K59" s="472"/>
      <c r="L59" s="302"/>
      <c r="M59" s="205">
        <v>0</v>
      </c>
      <c r="N59" s="10">
        <v>0</v>
      </c>
      <c r="O59" s="206"/>
      <c r="P59" s="3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</row>
    <row r="60" spans="1:1023" x14ac:dyDescent="0.2">
      <c r="A60" s="3"/>
      <c r="B60" s="10" t="s">
        <v>464</v>
      </c>
      <c r="C60" s="464" t="s">
        <v>492</v>
      </c>
      <c r="D60" s="10"/>
      <c r="E60" s="10"/>
      <c r="F60" s="10"/>
      <c r="G60" s="10"/>
      <c r="H60" s="10"/>
      <c r="I60" s="10"/>
      <c r="J60" s="10"/>
      <c r="K60" s="469"/>
      <c r="L60" s="302"/>
      <c r="M60" s="205">
        <v>0</v>
      </c>
      <c r="N60" s="10">
        <v>0</v>
      </c>
      <c r="O60" s="206"/>
      <c r="P60" s="3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</row>
    <row r="61" spans="1:1023" x14ac:dyDescent="0.2">
      <c r="A61" s="3"/>
      <c r="B61" s="49"/>
      <c r="C61" s="470" t="s">
        <v>493</v>
      </c>
      <c r="D61" s="10"/>
      <c r="E61" s="10"/>
      <c r="F61" s="10"/>
      <c r="G61" s="10"/>
      <c r="H61" s="10"/>
      <c r="I61" s="10"/>
      <c r="J61" s="10"/>
      <c r="K61" s="263">
        <f>SUM(K57:K60)</f>
        <v>0</v>
      </c>
      <c r="L61" s="302"/>
      <c r="M61" s="266">
        <f>SUM(M57:M60)</f>
        <v>10</v>
      </c>
      <c r="N61" s="301">
        <f>SUM(N57:N60)</f>
        <v>10</v>
      </c>
      <c r="O61" s="206"/>
      <c r="P61" s="3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</row>
    <row r="62" spans="1:1023" x14ac:dyDescent="0.2">
      <c r="A62" s="3"/>
      <c r="B62" s="10"/>
      <c r="C62" s="464"/>
      <c r="D62" s="10"/>
      <c r="E62" s="10"/>
      <c r="F62" s="10"/>
      <c r="G62" s="10"/>
      <c r="H62" s="10"/>
      <c r="I62" s="10"/>
      <c r="J62" s="10"/>
      <c r="K62" s="472"/>
      <c r="L62" s="302"/>
      <c r="M62" s="303"/>
      <c r="N62" s="10"/>
      <c r="O62" s="206"/>
      <c r="P62" s="3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</row>
    <row r="63" spans="1:1023" x14ac:dyDescent="0.2">
      <c r="A63" s="3"/>
      <c r="B63" s="301" t="s">
        <v>494</v>
      </c>
      <c r="C63" s="464"/>
      <c r="D63" s="10"/>
      <c r="E63" s="10"/>
      <c r="F63" s="10"/>
      <c r="G63" s="10"/>
      <c r="H63" s="10"/>
      <c r="I63" s="10"/>
      <c r="J63" s="10"/>
      <c r="K63" s="472"/>
      <c r="L63" s="302"/>
      <c r="M63" s="303"/>
      <c r="N63" s="10"/>
      <c r="O63" s="206"/>
      <c r="P63" s="3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</row>
    <row r="64" spans="1:1023" x14ac:dyDescent="0.2">
      <c r="A64" s="3"/>
      <c r="B64" s="10" t="s">
        <v>469</v>
      </c>
      <c r="C64" s="464" t="s">
        <v>495</v>
      </c>
      <c r="D64" s="10"/>
      <c r="E64" s="10"/>
      <c r="F64" s="10"/>
      <c r="G64" s="10"/>
      <c r="H64" s="10"/>
      <c r="I64" s="10"/>
      <c r="J64" s="10"/>
      <c r="K64" s="469"/>
      <c r="L64" s="302"/>
      <c r="M64" s="205">
        <v>434</v>
      </c>
      <c r="N64" s="10">
        <v>434</v>
      </c>
      <c r="O64" s="206"/>
      <c r="P64" s="3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</row>
    <row r="65" spans="1:1023" x14ac:dyDescent="0.2">
      <c r="A65" s="3"/>
      <c r="B65" s="10" t="s">
        <v>471</v>
      </c>
      <c r="C65" s="464" t="s">
        <v>496</v>
      </c>
      <c r="D65" s="10"/>
      <c r="E65" s="10"/>
      <c r="F65" s="10"/>
      <c r="G65" s="10"/>
      <c r="H65" s="10"/>
      <c r="I65" s="10"/>
      <c r="J65" s="10"/>
      <c r="K65" s="469"/>
      <c r="L65" s="302"/>
      <c r="M65" s="205">
        <v>1140</v>
      </c>
      <c r="N65" s="10">
        <v>1140</v>
      </c>
      <c r="O65" s="206"/>
      <c r="P65" s="3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</row>
    <row r="66" spans="1:1023" x14ac:dyDescent="0.2">
      <c r="A66" s="3"/>
      <c r="B66" s="10" t="s">
        <v>473</v>
      </c>
      <c r="C66" s="464" t="s">
        <v>497</v>
      </c>
      <c r="D66" s="10"/>
      <c r="E66" s="10"/>
      <c r="F66" s="10"/>
      <c r="G66" s="10"/>
      <c r="H66" s="10"/>
      <c r="I66" s="10"/>
      <c r="J66" s="10"/>
      <c r="K66" s="469"/>
      <c r="L66" s="302"/>
      <c r="M66" s="205">
        <v>0</v>
      </c>
      <c r="N66" s="10"/>
      <c r="O66" s="206"/>
      <c r="P66" s="3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</row>
    <row r="67" spans="1:1023" x14ac:dyDescent="0.2">
      <c r="A67" s="3"/>
      <c r="B67" s="10"/>
      <c r="C67" s="464"/>
      <c r="D67" s="10"/>
      <c r="E67" s="10"/>
      <c r="F67" s="10"/>
      <c r="G67" s="10"/>
      <c r="H67" s="10"/>
      <c r="I67" s="10"/>
      <c r="J67" s="10"/>
      <c r="K67" s="472"/>
      <c r="L67" s="302"/>
      <c r="M67" s="303"/>
      <c r="N67" s="10"/>
      <c r="O67" s="206"/>
      <c r="P67" s="3"/>
      <c r="Q67" s="4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</row>
    <row r="68" spans="1:1023" x14ac:dyDescent="0.2">
      <c r="A68" s="3"/>
      <c r="B68" s="10" t="s">
        <v>476</v>
      </c>
      <c r="C68" s="464" t="s">
        <v>498</v>
      </c>
      <c r="D68" s="10"/>
      <c r="E68" s="10"/>
      <c r="F68" s="10"/>
      <c r="G68" s="10"/>
      <c r="H68" s="10"/>
      <c r="I68" s="10"/>
      <c r="J68" s="10"/>
      <c r="K68" s="10">
        <v>0</v>
      </c>
      <c r="L68" s="10"/>
      <c r="M68" s="205">
        <v>0</v>
      </c>
      <c r="N68" s="10">
        <v>0</v>
      </c>
      <c r="O68" s="206"/>
      <c r="P68" s="3"/>
      <c r="Q68" s="4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</row>
    <row r="69" spans="1:1023" x14ac:dyDescent="0.2">
      <c r="A69" s="3"/>
      <c r="B69" s="10"/>
      <c r="C69" s="464"/>
      <c r="D69" s="10"/>
      <c r="E69" s="10"/>
      <c r="F69" s="10"/>
      <c r="G69" s="10"/>
      <c r="H69" s="10"/>
      <c r="I69" s="10"/>
      <c r="J69" s="10"/>
      <c r="K69" s="302"/>
      <c r="L69" s="302"/>
      <c r="M69" s="303"/>
      <c r="N69" s="10"/>
      <c r="O69" s="206"/>
      <c r="P69" s="3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</row>
    <row r="70" spans="1:1023" x14ac:dyDescent="0.2">
      <c r="A70" s="3"/>
      <c r="B70" s="301" t="s">
        <v>499</v>
      </c>
      <c r="C70" s="464"/>
      <c r="D70" s="10"/>
      <c r="E70" s="10"/>
      <c r="F70" s="10"/>
      <c r="G70" s="10"/>
      <c r="H70" s="10"/>
      <c r="I70" s="10"/>
      <c r="J70" s="10"/>
      <c r="K70" s="265">
        <f>SUM(K64:K69)</f>
        <v>0</v>
      </c>
      <c r="L70" s="302"/>
      <c r="M70" s="266">
        <f>SUM(M64:M68)</f>
        <v>1574</v>
      </c>
      <c r="N70" s="301">
        <f>SUM(N64:N68)</f>
        <v>1574</v>
      </c>
      <c r="O70" s="206"/>
      <c r="P70" s="3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</row>
    <row r="71" spans="1:1023" x14ac:dyDescent="0.2">
      <c r="A71" s="3"/>
      <c r="B71" s="10"/>
      <c r="C71" s="464"/>
      <c r="D71" s="10"/>
      <c r="E71" s="10"/>
      <c r="F71" s="10"/>
      <c r="G71" s="10"/>
      <c r="H71" s="10"/>
      <c r="I71" s="10"/>
      <c r="J71" s="10"/>
      <c r="K71" s="302"/>
      <c r="L71" s="302"/>
      <c r="M71" s="303"/>
      <c r="N71" s="10"/>
      <c r="O71" s="206"/>
      <c r="P71" s="3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</row>
    <row r="72" spans="1:1023" x14ac:dyDescent="0.2">
      <c r="K72" s="473">
        <f>K47-(K51+K55+K61-K70)</f>
        <v>0</v>
      </c>
      <c r="M72" s="473">
        <f>M47-(M51+M55+M61-M70)</f>
        <v>-10</v>
      </c>
      <c r="N72" s="473">
        <f>N47-(N51+N55+N61-N70)</f>
        <v>-10</v>
      </c>
    </row>
  </sheetData>
  <mergeCells count="6">
    <mergeCell ref="B5:O5"/>
    <mergeCell ref="D6:E6"/>
    <mergeCell ref="D43:E43"/>
    <mergeCell ref="F43:G43"/>
    <mergeCell ref="H43:I43"/>
    <mergeCell ref="M43:N43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MI26"/>
  <sheetViews>
    <sheetView workbookViewId="0"/>
  </sheetViews>
  <sheetFormatPr defaultRowHeight="14.25" x14ac:dyDescent="0.2"/>
  <cols>
    <col min="1" max="1" width="5" customWidth="1"/>
    <col min="2" max="2" width="12.5" customWidth="1"/>
    <col min="3" max="3" width="24" customWidth="1"/>
    <col min="4" max="1024" width="8.75" customWidth="1"/>
  </cols>
  <sheetData>
    <row r="4" spans="1:1023" x14ac:dyDescent="0.2">
      <c r="A4" s="3"/>
      <c r="B4" s="301"/>
      <c r="C4" s="10"/>
      <c r="D4" s="10"/>
      <c r="E4" s="10"/>
      <c r="F4" s="10"/>
      <c r="G4" s="10"/>
      <c r="H4" s="301"/>
      <c r="I4" s="301"/>
      <c r="J4" s="301"/>
      <c r="K4" s="301"/>
      <c r="L4" s="10"/>
      <c r="M4" s="205"/>
      <c r="N4" s="301"/>
      <c r="O4" s="206"/>
      <c r="P4" s="3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</row>
    <row r="5" spans="1:1023" x14ac:dyDescent="0.2">
      <c r="A5" s="3"/>
      <c r="B5" s="782" t="s">
        <v>500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3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</row>
    <row r="6" spans="1:1023" x14ac:dyDescent="0.2">
      <c r="A6" s="3"/>
      <c r="B6" s="10"/>
      <c r="C6" s="10"/>
      <c r="D6" s="751">
        <v>2013</v>
      </c>
      <c r="E6" s="751"/>
      <c r="F6" s="751">
        <v>2014</v>
      </c>
      <c r="G6" s="751"/>
      <c r="H6" s="775"/>
      <c r="I6" s="775"/>
      <c r="J6" s="465"/>
      <c r="K6" s="10"/>
      <c r="L6" s="10"/>
      <c r="M6" s="751">
        <v>2017</v>
      </c>
      <c r="N6" s="751"/>
      <c r="O6" s="206">
        <v>2018</v>
      </c>
      <c r="P6" s="3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</row>
    <row r="7" spans="1:1023" s="16" customFormat="1" ht="13.5" customHeight="1" x14ac:dyDescent="0.2">
      <c r="A7" s="14"/>
      <c r="B7" s="466" t="s">
        <v>2</v>
      </c>
      <c r="C7" s="466" t="s">
        <v>3</v>
      </c>
      <c r="D7" s="466" t="s">
        <v>4</v>
      </c>
      <c r="E7" s="466" t="s">
        <v>5</v>
      </c>
      <c r="F7" s="466" t="s">
        <v>4</v>
      </c>
      <c r="G7" s="466" t="s">
        <v>5</v>
      </c>
      <c r="H7" s="458"/>
      <c r="I7" s="458"/>
      <c r="J7" s="458"/>
      <c r="K7" s="468">
        <v>2016</v>
      </c>
      <c r="L7" s="458"/>
      <c r="M7" s="457" t="s">
        <v>7</v>
      </c>
      <c r="N7" s="458" t="s">
        <v>8</v>
      </c>
      <c r="O7" s="459" t="s">
        <v>6</v>
      </c>
      <c r="P7" s="14"/>
      <c r="Q7" s="15"/>
    </row>
    <row r="8" spans="1:1023" x14ac:dyDescent="0.2">
      <c r="A8" s="3"/>
      <c r="B8" s="10" t="s">
        <v>501</v>
      </c>
      <c r="C8" s="10" t="s">
        <v>502</v>
      </c>
      <c r="D8" s="10"/>
      <c r="E8" s="10"/>
      <c r="F8" s="10"/>
      <c r="G8" s="10"/>
      <c r="H8" s="10"/>
      <c r="I8" s="10"/>
      <c r="J8" s="10"/>
      <c r="K8" s="469">
        <v>70189</v>
      </c>
      <c r="L8" s="10"/>
      <c r="M8" s="205">
        <v>69873.899999999994</v>
      </c>
      <c r="N8" s="10"/>
      <c r="O8" s="206"/>
      <c r="P8" s="3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</row>
    <row r="9" spans="1:1023" ht="26.25" customHeight="1" x14ac:dyDescent="0.2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05"/>
      <c r="N9" s="10"/>
      <c r="O9" s="206"/>
      <c r="P9" s="3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</row>
    <row r="10" spans="1:1023" x14ac:dyDescent="0.2">
      <c r="A10" s="3"/>
      <c r="B10" s="10" t="s">
        <v>503</v>
      </c>
      <c r="C10" s="10" t="s">
        <v>504</v>
      </c>
      <c r="D10" s="10"/>
      <c r="E10" s="10"/>
      <c r="F10" s="10"/>
      <c r="G10" s="10"/>
      <c r="H10" s="10"/>
      <c r="I10" s="10"/>
      <c r="J10" s="10"/>
      <c r="K10" s="469">
        <v>-64310.46</v>
      </c>
      <c r="L10" s="10"/>
      <c r="M10" s="205">
        <v>-70189</v>
      </c>
      <c r="N10" s="10"/>
      <c r="O10" s="206"/>
      <c r="P10" s="3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</row>
    <row r="11" spans="1:1023" x14ac:dyDescent="0.2">
      <c r="A11" s="3"/>
      <c r="B11" s="10"/>
      <c r="C11" s="10" t="s">
        <v>505</v>
      </c>
      <c r="D11" s="10"/>
      <c r="E11" s="10"/>
      <c r="F11" s="10"/>
      <c r="G11" s="10"/>
      <c r="H11" s="10"/>
      <c r="I11" s="10"/>
      <c r="J11" s="10"/>
      <c r="K11" s="469">
        <f>K17-K23</f>
        <v>-5879</v>
      </c>
      <c r="L11" s="10"/>
      <c r="M11" s="205">
        <v>-909</v>
      </c>
      <c r="N11" s="10"/>
      <c r="O11" s="206"/>
      <c r="P11" s="3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</row>
    <row r="12" spans="1:1023" x14ac:dyDescent="0.2">
      <c r="A12" s="3"/>
      <c r="B12" s="465"/>
      <c r="C12" s="301" t="s">
        <v>506</v>
      </c>
      <c r="D12" s="10"/>
      <c r="E12" s="10"/>
      <c r="F12" s="10"/>
      <c r="G12" s="10"/>
      <c r="H12" s="10"/>
      <c r="I12" s="10"/>
      <c r="J12" s="10"/>
      <c r="K12" s="265">
        <f>SUM(K10:K11)</f>
        <v>-70189.459999999992</v>
      </c>
      <c r="L12" s="10"/>
      <c r="M12" s="266">
        <f>SUM(M10:M11)</f>
        <v>-71098</v>
      </c>
      <c r="N12" s="10"/>
      <c r="O12" s="206"/>
      <c r="P12" s="3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</row>
    <row r="13" spans="1:1023" x14ac:dyDescent="0.2">
      <c r="A13" s="3"/>
      <c r="B13" s="465"/>
      <c r="C13" s="301"/>
      <c r="D13" s="10"/>
      <c r="E13" s="10"/>
      <c r="F13" s="10"/>
      <c r="G13" s="10"/>
      <c r="H13" s="10"/>
      <c r="I13" s="10"/>
      <c r="J13" s="10"/>
      <c r="K13" s="265"/>
      <c r="L13" s="10"/>
      <c r="M13" s="266"/>
      <c r="N13" s="10"/>
      <c r="O13" s="206"/>
      <c r="P13" s="3"/>
      <c r="Q13" s="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</row>
    <row r="14" spans="1:1023" x14ac:dyDescent="0.2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05"/>
      <c r="N14" s="10"/>
      <c r="O14" s="206"/>
      <c r="P14" s="3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</row>
    <row r="15" spans="1:1023" x14ac:dyDescent="0.2">
      <c r="A15" s="3"/>
      <c r="B15" s="10" t="s">
        <v>507</v>
      </c>
      <c r="C15" s="10" t="s">
        <v>508</v>
      </c>
      <c r="D15" s="10"/>
      <c r="E15" s="10"/>
      <c r="F15" s="10"/>
      <c r="G15" s="10"/>
      <c r="H15" s="10"/>
      <c r="I15" s="10"/>
      <c r="J15" s="10"/>
      <c r="K15" s="469">
        <v>0</v>
      </c>
      <c r="L15" s="10"/>
      <c r="M15" s="205">
        <v>0</v>
      </c>
      <c r="N15" s="10"/>
      <c r="O15" s="206"/>
      <c r="P15" s="3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</row>
    <row r="16" spans="1:1023" x14ac:dyDescent="0.2">
      <c r="A16" s="3"/>
      <c r="B16" s="10" t="s">
        <v>509</v>
      </c>
      <c r="C16" s="10" t="s">
        <v>510</v>
      </c>
      <c r="D16" s="10"/>
      <c r="E16" s="10"/>
      <c r="F16" s="10"/>
      <c r="G16" s="10"/>
      <c r="H16" s="10"/>
      <c r="I16" s="10"/>
      <c r="J16" s="10"/>
      <c r="K16" s="469">
        <v>-9980</v>
      </c>
      <c r="L16" s="10"/>
      <c r="M16" s="205">
        <v>-269</v>
      </c>
      <c r="N16" s="10"/>
      <c r="O16" s="206"/>
      <c r="P16" s="3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</row>
    <row r="17" spans="1:1023" x14ac:dyDescent="0.2">
      <c r="A17" s="3"/>
      <c r="B17" s="465"/>
      <c r="C17" s="301" t="s">
        <v>511</v>
      </c>
      <c r="D17" s="10"/>
      <c r="E17" s="10"/>
      <c r="F17" s="10"/>
      <c r="G17" s="10"/>
      <c r="H17" s="10"/>
      <c r="I17" s="10"/>
      <c r="J17" s="10"/>
      <c r="K17" s="263">
        <f>SUM(K15:K16)</f>
        <v>-9980</v>
      </c>
      <c r="L17" s="10"/>
      <c r="M17" s="266">
        <f>SUM(M15:M16)</f>
        <v>-269</v>
      </c>
      <c r="N17" s="10"/>
      <c r="O17" s="206"/>
      <c r="P17" s="3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</row>
    <row r="18" spans="1:1023" x14ac:dyDescent="0.2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469"/>
      <c r="L18" s="10"/>
      <c r="M18" s="205"/>
      <c r="N18" s="10"/>
      <c r="O18" s="206"/>
      <c r="P18" s="3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</row>
    <row r="19" spans="1:1023" x14ac:dyDescent="0.2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05"/>
      <c r="N19" s="10"/>
      <c r="O19" s="206"/>
      <c r="P19" s="3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</row>
    <row r="20" spans="1:1023" x14ac:dyDescent="0.2">
      <c r="A20" s="3"/>
      <c r="B20" s="30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05"/>
      <c r="N20" s="10"/>
      <c r="O20" s="206"/>
      <c r="P20" s="3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</row>
    <row r="21" spans="1:1023" x14ac:dyDescent="0.2">
      <c r="A21" s="3"/>
      <c r="B21" s="10" t="s">
        <v>512</v>
      </c>
      <c r="C21" s="10" t="s">
        <v>513</v>
      </c>
      <c r="D21" s="10"/>
      <c r="E21" s="10"/>
      <c r="F21" s="10"/>
      <c r="G21" s="10"/>
      <c r="H21" s="10"/>
      <c r="I21" s="10"/>
      <c r="J21" s="10"/>
      <c r="K21" s="10">
        <v>0</v>
      </c>
      <c r="L21" s="10"/>
      <c r="M21" s="205">
        <v>0</v>
      </c>
      <c r="N21" s="10">
        <v>770</v>
      </c>
      <c r="O21" s="206"/>
      <c r="P21" s="3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</row>
    <row r="22" spans="1:1023" x14ac:dyDescent="0.2">
      <c r="A22" s="3"/>
      <c r="B22" s="10" t="s">
        <v>514</v>
      </c>
      <c r="C22" s="10" t="s">
        <v>515</v>
      </c>
      <c r="D22" s="10"/>
      <c r="E22" s="10"/>
      <c r="F22" s="10"/>
      <c r="G22" s="10"/>
      <c r="H22" s="10"/>
      <c r="I22" s="10"/>
      <c r="J22" s="10"/>
      <c r="K22" s="10">
        <v>-4101</v>
      </c>
      <c r="L22" s="10"/>
      <c r="M22" s="205">
        <v>0</v>
      </c>
      <c r="N22" s="10"/>
      <c r="O22" s="206"/>
      <c r="P22" s="3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</row>
    <row r="23" spans="1:1023" x14ac:dyDescent="0.2">
      <c r="A23" s="3"/>
      <c r="B23" s="465"/>
      <c r="C23" s="301" t="s">
        <v>516</v>
      </c>
      <c r="D23" s="10"/>
      <c r="E23" s="10"/>
      <c r="F23" s="10"/>
      <c r="G23" s="10"/>
      <c r="H23" s="10"/>
      <c r="I23" s="10"/>
      <c r="J23" s="10"/>
      <c r="K23" s="301">
        <f>SUM(K22:K22)</f>
        <v>-4101</v>
      </c>
      <c r="L23" s="10"/>
      <c r="M23" s="266">
        <f>SUM(M21:M22)</f>
        <v>0</v>
      </c>
      <c r="N23" s="10"/>
      <c r="O23" s="206"/>
      <c r="P23" s="3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</row>
    <row r="24" spans="1:1023" x14ac:dyDescent="0.2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05"/>
      <c r="N24" s="10"/>
      <c r="O24" s="206"/>
      <c r="P24" s="3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</row>
    <row r="25" spans="1:1023" x14ac:dyDescent="0.2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05"/>
      <c r="N25" s="10"/>
      <c r="O25" s="206"/>
      <c r="P25" s="3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</row>
    <row r="26" spans="1:1023" x14ac:dyDescent="0.2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05"/>
      <c r="N26" s="10"/>
      <c r="O26" s="206"/>
      <c r="P26" s="3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</row>
  </sheetData>
  <mergeCells count="5">
    <mergeCell ref="B5:O5"/>
    <mergeCell ref="D6:E6"/>
    <mergeCell ref="F6:G6"/>
    <mergeCell ref="H6:I6"/>
    <mergeCell ref="M6:N6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tabSelected="1" view="pageLayout" zoomScaleNormal="100" workbookViewId="0">
      <selection activeCell="B33" sqref="B33"/>
    </sheetView>
  </sheetViews>
  <sheetFormatPr defaultRowHeight="14.25" x14ac:dyDescent="0.2"/>
  <cols>
    <col min="1" max="1" width="9" style="590"/>
    <col min="2" max="2" width="26.125" customWidth="1"/>
    <col min="3" max="3" width="14.375" style="474" customWidth="1"/>
    <col min="4" max="4" width="10.25" style="474" customWidth="1"/>
    <col min="5" max="5" width="11.875" style="474" customWidth="1"/>
    <col min="6" max="6" width="12.75" customWidth="1"/>
    <col min="7" max="1024" width="8.75" customWidth="1"/>
  </cols>
  <sheetData>
    <row r="1" spans="1:9" s="590" customFormat="1" ht="57" customHeight="1" x14ac:dyDescent="0.2">
      <c r="A1" s="784" t="s">
        <v>676</v>
      </c>
      <c r="B1" s="784"/>
      <c r="C1" s="784"/>
      <c r="D1" s="784"/>
      <c r="E1" s="784"/>
      <c r="F1" s="784"/>
    </row>
    <row r="2" spans="1:9" s="590" customFormat="1" x14ac:dyDescent="0.2">
      <c r="A2" s="666"/>
      <c r="D2" s="474"/>
    </row>
    <row r="3" spans="1:9" s="590" customFormat="1" ht="42" customHeight="1" x14ac:dyDescent="0.2">
      <c r="A3" s="785" t="s">
        <v>677</v>
      </c>
      <c r="B3" s="785"/>
      <c r="C3" s="785"/>
      <c r="D3" s="785"/>
      <c r="E3" s="785"/>
      <c r="F3" s="785"/>
      <c r="I3" s="803"/>
    </row>
    <row r="4" spans="1:9" s="590" customFormat="1" x14ac:dyDescent="0.2">
      <c r="A4" s="667"/>
      <c r="B4" s="668"/>
      <c r="C4" s="669"/>
      <c r="D4" s="392"/>
      <c r="E4" s="318"/>
      <c r="F4" s="318"/>
    </row>
    <row r="6" spans="1:9" s="477" customFormat="1" ht="46.5" customHeight="1" thickBot="1" x14ac:dyDescent="0.25">
      <c r="B6" s="475" t="s">
        <v>457</v>
      </c>
      <c r="C6" s="476" t="s">
        <v>670</v>
      </c>
      <c r="D6" s="476" t="s">
        <v>671</v>
      </c>
      <c r="E6" s="476" t="s">
        <v>517</v>
      </c>
    </row>
    <row r="7" spans="1:9" ht="15" thickTop="1" x14ac:dyDescent="0.2">
      <c r="B7" s="478" t="s">
        <v>518</v>
      </c>
      <c r="C7" s="653">
        <v>544623</v>
      </c>
      <c r="D7" s="653">
        <v>555500</v>
      </c>
      <c r="E7" s="654">
        <f>D7/C7-1</f>
        <v>1.9971613391281728E-2</v>
      </c>
    </row>
    <row r="8" spans="1:9" ht="15" x14ac:dyDescent="0.25">
      <c r="B8" s="480" t="s">
        <v>519</v>
      </c>
      <c r="C8" s="655">
        <v>712</v>
      </c>
      <c r="D8" s="655">
        <v>2000</v>
      </c>
      <c r="E8" s="654">
        <f t="shared" ref="E8:E14" si="0">D8/C8-1</f>
        <v>1.808988764044944</v>
      </c>
      <c r="F8" s="749"/>
    </row>
    <row r="9" spans="1:9" x14ac:dyDescent="0.2">
      <c r="B9" s="480" t="s">
        <v>520</v>
      </c>
      <c r="C9" s="655">
        <v>176066</v>
      </c>
      <c r="D9" s="655">
        <v>176038</v>
      </c>
      <c r="E9" s="654">
        <f t="shared" si="0"/>
        <v>-1.5903127236371883E-4</v>
      </c>
    </row>
    <row r="10" spans="1:9" x14ac:dyDescent="0.2">
      <c r="B10" s="480" t="s">
        <v>521</v>
      </c>
      <c r="C10" s="655">
        <v>13568</v>
      </c>
      <c r="D10" s="655">
        <v>14607</v>
      </c>
      <c r="E10" s="654">
        <f t="shared" si="0"/>
        <v>7.6577240566037652E-2</v>
      </c>
    </row>
    <row r="11" spans="1:9" x14ac:dyDescent="0.2">
      <c r="B11" s="480" t="s">
        <v>522</v>
      </c>
      <c r="C11" s="655">
        <v>623</v>
      </c>
      <c r="D11" s="655">
        <v>623</v>
      </c>
      <c r="E11" s="654">
        <f t="shared" si="0"/>
        <v>0</v>
      </c>
    </row>
    <row r="12" spans="1:9" x14ac:dyDescent="0.2">
      <c r="B12" s="480" t="s">
        <v>523</v>
      </c>
      <c r="C12" s="655">
        <v>9133</v>
      </c>
      <c r="D12" s="655">
        <v>1560</v>
      </c>
      <c r="E12" s="654">
        <f t="shared" si="0"/>
        <v>-0.82919084638125473</v>
      </c>
    </row>
    <row r="13" spans="1:9" s="748" customFormat="1" x14ac:dyDescent="0.2">
      <c r="B13" s="480" t="s">
        <v>675</v>
      </c>
      <c r="C13" s="655"/>
      <c r="D13" s="655">
        <v>130942</v>
      </c>
      <c r="E13" s="654"/>
    </row>
    <row r="14" spans="1:9" ht="15" x14ac:dyDescent="0.2">
      <c r="B14" s="481" t="s">
        <v>524</v>
      </c>
      <c r="C14" s="656">
        <f>SUM(C7:C12)</f>
        <v>744725</v>
      </c>
      <c r="D14" s="656">
        <f>SUM(D7:D13)</f>
        <v>881270</v>
      </c>
      <c r="E14" s="664">
        <f t="shared" si="0"/>
        <v>0.18334955856188517</v>
      </c>
    </row>
    <row r="15" spans="1:9" x14ac:dyDescent="0.2">
      <c r="B15" s="482"/>
      <c r="C15" s="661"/>
      <c r="D15" s="483"/>
      <c r="E15" s="483"/>
    </row>
    <row r="16" spans="1:9" x14ac:dyDescent="0.2">
      <c r="B16" s="484" t="s">
        <v>494</v>
      </c>
      <c r="C16" s="662"/>
      <c r="D16" s="658"/>
      <c r="E16" s="658"/>
    </row>
    <row r="17" spans="2:5" x14ac:dyDescent="0.2">
      <c r="B17" s="480" t="s">
        <v>525</v>
      </c>
      <c r="C17" s="655">
        <v>115582</v>
      </c>
      <c r="D17" s="655">
        <v>100582</v>
      </c>
      <c r="E17" s="660">
        <f>D17/C17-1</f>
        <v>-0.12977799311311455</v>
      </c>
    </row>
    <row r="18" spans="2:5" x14ac:dyDescent="0.2">
      <c r="B18" s="480" t="s">
        <v>526</v>
      </c>
      <c r="C18" s="655">
        <v>49855</v>
      </c>
      <c r="D18" s="655">
        <v>49855</v>
      </c>
      <c r="E18" s="660">
        <f t="shared" ref="E18:E24" si="1">D18/C18-1</f>
        <v>0</v>
      </c>
    </row>
    <row r="19" spans="2:5" x14ac:dyDescent="0.2">
      <c r="B19" s="480" t="s">
        <v>527</v>
      </c>
      <c r="C19" s="655">
        <v>566716</v>
      </c>
      <c r="D19" s="655">
        <v>304832</v>
      </c>
      <c r="E19" s="660">
        <f t="shared" si="1"/>
        <v>-0.46210800471488367</v>
      </c>
    </row>
    <row r="20" spans="2:5" x14ac:dyDescent="0.2">
      <c r="B20" s="480" t="s">
        <v>528</v>
      </c>
      <c r="C20" s="655">
        <v>9484</v>
      </c>
      <c r="D20" s="655">
        <v>14484</v>
      </c>
      <c r="E20" s="660">
        <f t="shared" si="1"/>
        <v>0.52720371151412904</v>
      </c>
    </row>
    <row r="21" spans="2:5" x14ac:dyDescent="0.2">
      <c r="B21" s="480" t="s">
        <v>529</v>
      </c>
      <c r="C21" s="655">
        <v>40000</v>
      </c>
      <c r="D21" s="655">
        <v>30000</v>
      </c>
      <c r="E21" s="660">
        <f t="shared" si="1"/>
        <v>-0.25</v>
      </c>
    </row>
    <row r="22" spans="2:5" x14ac:dyDescent="0.2">
      <c r="B22" s="480" t="s">
        <v>530</v>
      </c>
      <c r="C22" s="655"/>
      <c r="D22" s="655">
        <v>15000</v>
      </c>
      <c r="E22" s="660" t="e">
        <f t="shared" si="1"/>
        <v>#DIV/0!</v>
      </c>
    </row>
    <row r="23" spans="2:5" x14ac:dyDescent="0.2">
      <c r="B23" s="480" t="s">
        <v>531</v>
      </c>
      <c r="C23" s="655"/>
      <c r="D23" s="655">
        <v>53737</v>
      </c>
      <c r="E23" s="660" t="e">
        <f t="shared" si="1"/>
        <v>#DIV/0!</v>
      </c>
    </row>
    <row r="24" spans="2:5" ht="15" x14ac:dyDescent="0.2">
      <c r="B24" s="481" t="s">
        <v>516</v>
      </c>
      <c r="C24" s="656">
        <f>SUM(C17:C23)</f>
        <v>781637</v>
      </c>
      <c r="D24" s="657">
        <f>SUM(D17:D23)</f>
        <v>568490</v>
      </c>
      <c r="E24" s="665">
        <f t="shared" si="1"/>
        <v>-0.27269307875650717</v>
      </c>
    </row>
    <row r="25" spans="2:5" x14ac:dyDescent="0.2">
      <c r="B25" s="480"/>
      <c r="C25" s="655"/>
      <c r="D25" s="485"/>
      <c r="E25" s="485"/>
    </row>
    <row r="26" spans="2:5" x14ac:dyDescent="0.2">
      <c r="B26" s="486" t="s">
        <v>112</v>
      </c>
      <c r="C26" s="663"/>
      <c r="D26" s="659"/>
      <c r="E26" s="659"/>
    </row>
    <row r="27" spans="2:5" x14ac:dyDescent="0.2">
      <c r="B27" s="480" t="s">
        <v>532</v>
      </c>
      <c r="C27" s="655">
        <v>30000</v>
      </c>
      <c r="D27" s="485">
        <v>30000</v>
      </c>
      <c r="E27" s="660"/>
    </row>
    <row r="28" spans="2:5" x14ac:dyDescent="0.2">
      <c r="B28" s="480"/>
      <c r="C28" s="485"/>
      <c r="D28" s="485"/>
      <c r="E28" s="485"/>
    </row>
    <row r="29" spans="2:5" ht="15" x14ac:dyDescent="0.2">
      <c r="B29" s="481" t="s">
        <v>673</v>
      </c>
      <c r="C29" s="656">
        <f>SUM(C27+C24)</f>
        <v>811637</v>
      </c>
      <c r="D29" s="657">
        <f>SUM(D27+D24)</f>
        <v>598490</v>
      </c>
      <c r="E29" s="485"/>
    </row>
    <row r="30" spans="2:5" x14ac:dyDescent="0.2">
      <c r="C30" s="480"/>
      <c r="E30" s="655"/>
    </row>
    <row r="31" spans="2:5" x14ac:dyDescent="0.2">
      <c r="C31" s="480"/>
      <c r="E31" s="655"/>
    </row>
    <row r="32" spans="2:5" x14ac:dyDescent="0.2">
      <c r="B32" t="s">
        <v>678</v>
      </c>
      <c r="C32" s="480"/>
      <c r="D32" s="474" t="s">
        <v>674</v>
      </c>
      <c r="E32" s="655"/>
    </row>
    <row r="33" spans="1:6" x14ac:dyDescent="0.2">
      <c r="C33" s="480"/>
      <c r="E33" s="655"/>
    </row>
    <row r="35" spans="1:6" ht="27.75" customHeight="1" x14ac:dyDescent="0.2">
      <c r="A35" s="783" t="s">
        <v>672</v>
      </c>
      <c r="B35" s="783"/>
      <c r="C35" s="783"/>
      <c r="D35" s="783"/>
      <c r="E35" s="783"/>
      <c r="F35" s="783"/>
    </row>
  </sheetData>
  <mergeCells count="3">
    <mergeCell ref="A35:F35"/>
    <mergeCell ref="A1:F1"/>
    <mergeCell ref="A3:F3"/>
  </mergeCells>
  <pageMargins left="0.70000000000000007" right="0.5625" top="1.1437000000000002" bottom="0.4375" header="0.75000000000000011" footer="0.75000000000000011"/>
  <pageSetup fitToWidth="0" fitToHeight="0" orientation="portrait" r:id="rId1"/>
  <headerFooter alignWithMargins="0">
    <oddHeader>&amp;C&amp;"Arial,Bold"AMENDED TOWN OF ROXBURY, DANE COUNTY
2020 BUDGET PUBLIC HEARING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81"/>
  <sheetViews>
    <sheetView workbookViewId="0"/>
  </sheetViews>
  <sheetFormatPr defaultRowHeight="15" x14ac:dyDescent="0.25"/>
  <cols>
    <col min="1" max="1" width="15.875" style="402" customWidth="1"/>
    <col min="2" max="2" width="7" style="402" customWidth="1"/>
    <col min="3" max="4" width="8" style="402" customWidth="1"/>
    <col min="5" max="5" width="7.875" style="402" customWidth="1"/>
    <col min="6" max="6" width="8.125" style="409" customWidth="1"/>
    <col min="7" max="7" width="8" style="402" customWidth="1"/>
    <col min="8" max="9" width="9" style="402" customWidth="1"/>
    <col min="10" max="10" width="8.125" style="402" customWidth="1"/>
    <col min="11" max="11" width="8.75" style="402" customWidth="1"/>
    <col min="12" max="12" width="8.375" style="402" customWidth="1"/>
    <col min="13" max="13" width="7.75" style="402" customWidth="1"/>
    <col min="14" max="15" width="8.375" style="402" customWidth="1"/>
    <col min="16" max="17" width="12.5" style="402" customWidth="1"/>
    <col min="18" max="19" width="8.375" style="402" customWidth="1"/>
    <col min="20" max="20" width="12.625" style="402" customWidth="1"/>
    <col min="21" max="23" width="8.375" style="402" customWidth="1"/>
    <col min="24" max="24" width="10.625" style="402" customWidth="1"/>
    <col min="25" max="1024" width="8.375" style="402" customWidth="1"/>
  </cols>
  <sheetData>
    <row r="1" spans="1:25" ht="15.75" x14ac:dyDescent="0.25">
      <c r="A1" s="487" t="s">
        <v>533</v>
      </c>
    </row>
    <row r="2" spans="1:25" ht="15.75" x14ac:dyDescent="0.25">
      <c r="A2" s="488" t="s">
        <v>534</v>
      </c>
    </row>
    <row r="3" spans="1:25" ht="15.75" x14ac:dyDescent="0.25">
      <c r="A3" s="488" t="s">
        <v>535</v>
      </c>
    </row>
    <row r="4" spans="1:25" ht="15.75" x14ac:dyDescent="0.25">
      <c r="A4" s="488" t="s">
        <v>536</v>
      </c>
    </row>
    <row r="5" spans="1:25" ht="15.75" x14ac:dyDescent="0.25">
      <c r="A5" s="488" t="s">
        <v>537</v>
      </c>
    </row>
    <row r="6" spans="1:25" ht="15.75" thickBot="1" x14ac:dyDescent="0.3"/>
    <row r="7" spans="1:25" s="489" customFormat="1" x14ac:dyDescent="0.25">
      <c r="B7" s="490"/>
      <c r="C7" s="491"/>
      <c r="D7" s="786">
        <v>0.01</v>
      </c>
      <c r="E7" s="786"/>
      <c r="F7" s="786"/>
      <c r="G7" s="786"/>
      <c r="H7" s="786"/>
      <c r="I7" s="786">
        <v>1.4999999999999999E-2</v>
      </c>
      <c r="J7" s="786"/>
      <c r="K7" s="786"/>
      <c r="L7" s="786"/>
      <c r="M7" s="786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</row>
    <row r="8" spans="1:25" x14ac:dyDescent="0.25">
      <c r="B8" s="787">
        <v>2018</v>
      </c>
      <c r="C8" s="787"/>
      <c r="D8" s="493" t="s">
        <v>538</v>
      </c>
      <c r="E8" s="494" t="s">
        <v>539</v>
      </c>
      <c r="F8" s="494" t="s">
        <v>540</v>
      </c>
      <c r="G8" s="495" t="s">
        <v>541</v>
      </c>
      <c r="H8" s="496"/>
      <c r="I8" s="493" t="s">
        <v>538</v>
      </c>
      <c r="J8" s="494" t="s">
        <v>539</v>
      </c>
      <c r="K8" s="494" t="s">
        <v>540</v>
      </c>
      <c r="L8" s="495" t="s">
        <v>541</v>
      </c>
      <c r="M8" s="496"/>
    </row>
    <row r="9" spans="1:25" x14ac:dyDescent="0.25">
      <c r="B9" s="787" t="s">
        <v>539</v>
      </c>
      <c r="C9" s="787"/>
      <c r="D9" s="493"/>
      <c r="E9" s="416"/>
      <c r="F9" s="497">
        <v>7.6499999999999999E-2</v>
      </c>
      <c r="G9" s="497">
        <v>6.5500000000000003E-2</v>
      </c>
      <c r="H9" s="498" t="s">
        <v>339</v>
      </c>
      <c r="I9" s="499"/>
      <c r="J9" s="416"/>
      <c r="K9" s="497">
        <v>7.6499999999999999E-2</v>
      </c>
      <c r="L9" s="497">
        <v>6.5500000000000003E-2</v>
      </c>
      <c r="M9" s="498" t="s">
        <v>339</v>
      </c>
    </row>
    <row r="10" spans="1:25" x14ac:dyDescent="0.25">
      <c r="A10" s="402" t="s">
        <v>542</v>
      </c>
      <c r="B10" s="500">
        <v>56000</v>
      </c>
      <c r="C10" s="501" t="s">
        <v>543</v>
      </c>
      <c r="D10" s="502">
        <f>B10*D7/2080</f>
        <v>0.26923076923076922</v>
      </c>
      <c r="E10" s="503">
        <f>B10*1.01</f>
        <v>56560</v>
      </c>
      <c r="F10" s="503">
        <f>E10*F9</f>
        <v>4326.84</v>
      </c>
      <c r="G10" s="503">
        <f>E10*G9</f>
        <v>3704.6800000000003</v>
      </c>
      <c r="H10" s="504">
        <f>SUM(E10:G10)</f>
        <v>64591.519999999997</v>
      </c>
      <c r="I10" s="505">
        <f>B10*I7/2080</f>
        <v>0.40384615384615385</v>
      </c>
      <c r="J10" s="503">
        <f>B10*1.015</f>
        <v>56839.999999999993</v>
      </c>
      <c r="K10" s="503">
        <f>J10*K$9</f>
        <v>4348.2599999999993</v>
      </c>
      <c r="L10" s="503">
        <f>J10*L$9</f>
        <v>3723.0199999999995</v>
      </c>
      <c r="M10" s="504">
        <f>SUM(J10:L10)</f>
        <v>64911.279999999992</v>
      </c>
    </row>
    <row r="11" spans="1:25" x14ac:dyDescent="0.25">
      <c r="A11" s="402" t="s">
        <v>544</v>
      </c>
      <c r="B11" s="502">
        <v>22</v>
      </c>
      <c r="C11" s="501" t="s">
        <v>545</v>
      </c>
      <c r="D11" s="500">
        <f>B11*$D$7</f>
        <v>0.22</v>
      </c>
      <c r="E11" s="503">
        <f>B11*1820*1.01</f>
        <v>40440.400000000001</v>
      </c>
      <c r="F11" s="503">
        <f>E11*F9</f>
        <v>3093.6905999999999</v>
      </c>
      <c r="G11" s="503">
        <f>E11*G9</f>
        <v>2648.8462000000004</v>
      </c>
      <c r="H11" s="504">
        <f>SUM(E11:G11)</f>
        <v>46182.936800000003</v>
      </c>
      <c r="I11" s="505">
        <f>$B$11*I7</f>
        <v>0.32999999999999996</v>
      </c>
      <c r="J11" s="503">
        <f>B11*1820*1.015</f>
        <v>40640.6</v>
      </c>
      <c r="K11" s="503">
        <f>J11*K$9</f>
        <v>3109.0058999999997</v>
      </c>
      <c r="L11" s="503">
        <f>J11*L$9</f>
        <v>2661.9593</v>
      </c>
      <c r="M11" s="504">
        <f>SUM(J11:L11)</f>
        <v>46411.565199999997</v>
      </c>
    </row>
    <row r="12" spans="1:25" ht="15.75" thickBot="1" x14ac:dyDescent="0.3">
      <c r="A12" s="402" t="s">
        <v>546</v>
      </c>
      <c r="B12" s="506">
        <v>24</v>
      </c>
      <c r="C12" s="507" t="s">
        <v>545</v>
      </c>
      <c r="D12" s="508">
        <f>B12*D7</f>
        <v>0.24</v>
      </c>
      <c r="E12" s="509">
        <f>(B12*2080+6660)*1.01</f>
        <v>57145.8</v>
      </c>
      <c r="F12" s="509">
        <f>E12*F9</f>
        <v>4371.6536999999998</v>
      </c>
      <c r="G12" s="509">
        <f>E12*G9</f>
        <v>3743.0499000000004</v>
      </c>
      <c r="H12" s="510">
        <f>SUM(E12:G12)</f>
        <v>65260.503600000004</v>
      </c>
      <c r="I12" s="511">
        <f>B12*$I$7</f>
        <v>0.36</v>
      </c>
      <c r="J12" s="509">
        <f>(B12*2080+6660)*1.015</f>
        <v>57428.7</v>
      </c>
      <c r="K12" s="509">
        <f>J12*K$9</f>
        <v>4393.2955499999998</v>
      </c>
      <c r="L12" s="509">
        <f>J12*L$9</f>
        <v>3761.5798500000001</v>
      </c>
      <c r="M12" s="510">
        <f>SUM(J12:L12)</f>
        <v>65583.575400000002</v>
      </c>
    </row>
    <row r="13" spans="1:25" ht="15.75" thickBot="1" x14ac:dyDescent="0.3"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</row>
    <row r="14" spans="1:25" x14ac:dyDescent="0.25">
      <c r="A14" s="489"/>
      <c r="B14" s="513"/>
      <c r="C14" s="513"/>
      <c r="D14" s="788">
        <v>0.02</v>
      </c>
      <c r="E14" s="788"/>
      <c r="F14" s="788"/>
      <c r="G14" s="788"/>
      <c r="H14" s="788"/>
      <c r="I14" s="786">
        <v>2.5000000000000001E-2</v>
      </c>
      <c r="J14" s="786"/>
      <c r="K14" s="786"/>
      <c r="L14" s="786"/>
      <c r="M14" s="786"/>
      <c r="R14" s="512"/>
      <c r="S14" s="512"/>
      <c r="T14" s="512"/>
      <c r="U14" s="512"/>
      <c r="V14" s="512"/>
      <c r="W14" s="512"/>
      <c r="X14" s="512"/>
      <c r="Y14" s="512"/>
    </row>
    <row r="15" spans="1:25" x14ac:dyDescent="0.25">
      <c r="B15" s="775"/>
      <c r="C15" s="775"/>
      <c r="D15" s="514" t="s">
        <v>538</v>
      </c>
      <c r="E15" s="515" t="s">
        <v>539</v>
      </c>
      <c r="F15" s="515" t="s">
        <v>540</v>
      </c>
      <c r="G15" s="516" t="s">
        <v>541</v>
      </c>
      <c r="H15" s="517"/>
      <c r="I15" s="493" t="s">
        <v>538</v>
      </c>
      <c r="J15" s="494" t="s">
        <v>539</v>
      </c>
      <c r="K15" s="494" t="s">
        <v>540</v>
      </c>
      <c r="L15" s="495" t="s">
        <v>541</v>
      </c>
      <c r="M15" s="518"/>
      <c r="R15" s="512"/>
      <c r="S15" s="512"/>
      <c r="T15" s="512"/>
      <c r="U15" s="512"/>
      <c r="V15" s="512"/>
      <c r="W15" s="512"/>
      <c r="X15" s="512"/>
      <c r="Y15" s="512"/>
    </row>
    <row r="16" spans="1:25" x14ac:dyDescent="0.25">
      <c r="B16" s="775"/>
      <c r="C16" s="775"/>
      <c r="D16" s="519"/>
      <c r="E16" s="520"/>
      <c r="F16" s="497">
        <v>7.6499999999999999E-2</v>
      </c>
      <c r="G16" s="497">
        <v>6.5500000000000003E-2</v>
      </c>
      <c r="H16" s="498" t="s">
        <v>339</v>
      </c>
      <c r="I16" s="521"/>
      <c r="J16" s="494"/>
      <c r="K16" s="497">
        <v>7.6499999999999999E-2</v>
      </c>
      <c r="L16" s="497">
        <v>6.5500000000000003E-2</v>
      </c>
      <c r="M16" s="498" t="s">
        <v>339</v>
      </c>
      <c r="R16" s="512"/>
      <c r="S16" s="512"/>
      <c r="T16" s="512"/>
      <c r="U16" s="512"/>
      <c r="V16" s="512"/>
      <c r="W16" s="512"/>
      <c r="X16" s="512"/>
      <c r="Y16" s="512"/>
    </row>
    <row r="17" spans="1:25" x14ac:dyDescent="0.25">
      <c r="B17" s="402" t="s">
        <v>542</v>
      </c>
      <c r="C17" s="494"/>
      <c r="D17" s="505">
        <f>$B$10*D14/2080</f>
        <v>0.53846153846153844</v>
      </c>
      <c r="E17" s="503">
        <f>B10*1.02</f>
        <v>57120</v>
      </c>
      <c r="F17" s="503">
        <f>E17*F$16</f>
        <v>4369.68</v>
      </c>
      <c r="G17" s="503">
        <f>E17*G$16</f>
        <v>3741.36</v>
      </c>
      <c r="H17" s="504">
        <f>SUM(E17:G17)</f>
        <v>65231.040000000001</v>
      </c>
      <c r="I17" s="505">
        <f>$B$10*I14/2080</f>
        <v>0.67307692307692313</v>
      </c>
      <c r="J17" s="503">
        <f>B10*1.025</f>
        <v>57399.999999999993</v>
      </c>
      <c r="K17" s="503">
        <f>J17*K$16</f>
        <v>4391.0999999999995</v>
      </c>
      <c r="L17" s="503">
        <f>J17*L$16</f>
        <v>3759.7</v>
      </c>
      <c r="M17" s="504">
        <f>SUM(J17:L17)</f>
        <v>65550.799999999988</v>
      </c>
      <c r="R17" s="512"/>
      <c r="S17" s="512"/>
      <c r="T17" s="512"/>
      <c r="U17" s="512"/>
      <c r="V17" s="512"/>
      <c r="W17" s="512"/>
      <c r="X17" s="512"/>
      <c r="Y17" s="512"/>
    </row>
    <row r="18" spans="1:25" x14ac:dyDescent="0.25">
      <c r="B18" s="402" t="s">
        <v>544</v>
      </c>
      <c r="C18" s="494"/>
      <c r="D18" s="505">
        <f>$B$11*D14</f>
        <v>0.44</v>
      </c>
      <c r="E18" s="503">
        <f>B11*1820*1.02</f>
        <v>40840.800000000003</v>
      </c>
      <c r="F18" s="503">
        <f>E18*F$16</f>
        <v>3124.3212000000003</v>
      </c>
      <c r="G18" s="503">
        <f>E18*G$16</f>
        <v>2675.0724000000005</v>
      </c>
      <c r="H18" s="504">
        <f>SUM(E18:G18)</f>
        <v>46640.193599999999</v>
      </c>
      <c r="I18" s="505">
        <f>$B$11*I14</f>
        <v>0.55000000000000004</v>
      </c>
      <c r="J18" s="503">
        <f>B11*1820*1.025</f>
        <v>41041</v>
      </c>
      <c r="K18" s="503">
        <f>J18*K$16</f>
        <v>3139.6365000000001</v>
      </c>
      <c r="L18" s="503">
        <f>J18*L$16</f>
        <v>2688.1855</v>
      </c>
      <c r="M18" s="504">
        <f>SUM(J18:L18)</f>
        <v>46868.822</v>
      </c>
      <c r="R18" s="512"/>
      <c r="S18" s="512"/>
      <c r="T18" s="512"/>
      <c r="U18" s="512"/>
      <c r="V18" s="512"/>
      <c r="W18" s="512"/>
      <c r="X18" s="512"/>
      <c r="Y18" s="512"/>
    </row>
    <row r="19" spans="1:25" ht="15.75" thickBot="1" x14ac:dyDescent="0.3">
      <c r="B19" s="402" t="s">
        <v>546</v>
      </c>
      <c r="C19" s="494"/>
      <c r="D19" s="522">
        <f>$B$12*D14</f>
        <v>0.48</v>
      </c>
      <c r="E19" s="509">
        <f>(B12*2080+6660)*1.02</f>
        <v>57711.6</v>
      </c>
      <c r="F19" s="509">
        <f>E19*F$16</f>
        <v>4414.9373999999998</v>
      </c>
      <c r="G19" s="509">
        <f>E19*G$16</f>
        <v>3780.1098000000002</v>
      </c>
      <c r="H19" s="510">
        <f>SUM(E19:G19)</f>
        <v>65906.647200000007</v>
      </c>
      <c r="I19" s="522">
        <f>$B$12*I14</f>
        <v>0.60000000000000009</v>
      </c>
      <c r="J19" s="509">
        <f>(B12*2080+6660)*1.025</f>
        <v>57994.499999999993</v>
      </c>
      <c r="K19" s="509">
        <f>J19*K$16</f>
        <v>4436.5792499999998</v>
      </c>
      <c r="L19" s="509">
        <f>J19*L$16</f>
        <v>3798.6397499999998</v>
      </c>
      <c r="M19" s="510">
        <f>SUM(J19:L19)</f>
        <v>66229.718999999997</v>
      </c>
    </row>
    <row r="20" spans="1:25" ht="15.75" thickBot="1" x14ac:dyDescent="0.3">
      <c r="B20" s="416"/>
      <c r="C20" s="416"/>
      <c r="D20" s="416"/>
    </row>
    <row r="21" spans="1:25" x14ac:dyDescent="0.25">
      <c r="A21" s="489"/>
      <c r="B21" s="513"/>
      <c r="C21" s="513"/>
      <c r="D21" s="786">
        <v>0.03</v>
      </c>
      <c r="E21" s="786"/>
      <c r="F21" s="786"/>
      <c r="G21" s="786"/>
      <c r="H21" s="786"/>
      <c r="I21" s="786">
        <v>3.5000000000000003E-2</v>
      </c>
      <c r="J21" s="786"/>
      <c r="K21" s="786"/>
      <c r="L21" s="786"/>
      <c r="M21" s="786"/>
    </row>
    <row r="22" spans="1:25" x14ac:dyDescent="0.25">
      <c r="B22" s="775"/>
      <c r="C22" s="775"/>
      <c r="D22" s="493" t="s">
        <v>538</v>
      </c>
      <c r="E22" s="494" t="s">
        <v>539</v>
      </c>
      <c r="F22" s="494" t="s">
        <v>540</v>
      </c>
      <c r="G22" s="495" t="s">
        <v>541</v>
      </c>
      <c r="H22" s="496"/>
      <c r="I22" s="493" t="s">
        <v>538</v>
      </c>
      <c r="J22" s="494" t="s">
        <v>539</v>
      </c>
      <c r="K22" s="494" t="s">
        <v>540</v>
      </c>
      <c r="L22" s="495" t="s">
        <v>541</v>
      </c>
      <c r="M22" s="496"/>
    </row>
    <row r="23" spans="1:25" x14ac:dyDescent="0.25">
      <c r="B23" s="775"/>
      <c r="C23" s="775"/>
      <c r="D23" s="523"/>
      <c r="E23" s="416"/>
      <c r="F23" s="497">
        <v>7.6499999999999999E-2</v>
      </c>
      <c r="G23" s="497">
        <v>6.5500000000000003E-2</v>
      </c>
      <c r="H23" s="498" t="s">
        <v>339</v>
      </c>
      <c r="I23" s="523"/>
      <c r="J23" s="416"/>
      <c r="K23" s="497">
        <v>7.6499999999999999E-2</v>
      </c>
      <c r="L23" s="497">
        <v>6.5500000000000003E-2</v>
      </c>
      <c r="M23" s="498" t="s">
        <v>339</v>
      </c>
    </row>
    <row r="24" spans="1:25" x14ac:dyDescent="0.25">
      <c r="B24" s="402" t="s">
        <v>542</v>
      </c>
      <c r="C24" s="494"/>
      <c r="D24" s="505">
        <f>$B$10*D21/2080</f>
        <v>0.80769230769230771</v>
      </c>
      <c r="E24" s="503">
        <f>B10*1.03</f>
        <v>57680</v>
      </c>
      <c r="F24" s="503">
        <f>E24*F$23</f>
        <v>4412.5199999999995</v>
      </c>
      <c r="G24" s="503">
        <f>E24*G$23</f>
        <v>3778.04</v>
      </c>
      <c r="H24" s="524">
        <f>SUM(E24:G24)</f>
        <v>65870.559999999998</v>
      </c>
      <c r="I24" s="505">
        <f>$B$10*I21/2080</f>
        <v>0.9423076923076924</v>
      </c>
      <c r="J24" s="503">
        <f>B10*1.035</f>
        <v>57959.999999999993</v>
      </c>
      <c r="K24" s="503">
        <f>J24*K$23</f>
        <v>4433.9399999999996</v>
      </c>
      <c r="L24" s="503">
        <f>J24*L$23</f>
        <v>3796.3799999999997</v>
      </c>
      <c r="M24" s="524">
        <f>SUM(J24:L24)</f>
        <v>66190.319999999992</v>
      </c>
    </row>
    <row r="25" spans="1:25" x14ac:dyDescent="0.25">
      <c r="B25" s="402" t="s">
        <v>544</v>
      </c>
      <c r="C25" s="494"/>
      <c r="D25" s="505">
        <f>$B$11*D21</f>
        <v>0.65999999999999992</v>
      </c>
      <c r="E25" s="503">
        <f>B11*1820*1.03</f>
        <v>41241.200000000004</v>
      </c>
      <c r="F25" s="503">
        <f>E25*F$23</f>
        <v>3154.9518000000003</v>
      </c>
      <c r="G25" s="503">
        <f>E25*G$23</f>
        <v>2701.2986000000005</v>
      </c>
      <c r="H25" s="524">
        <f>SUM(E25:G25)</f>
        <v>47097.450400000009</v>
      </c>
      <c r="I25" s="505">
        <f>$B$11*I21</f>
        <v>0.77</v>
      </c>
      <c r="J25" s="503">
        <f>B11*1820*1.035</f>
        <v>41441.399999999994</v>
      </c>
      <c r="K25" s="503">
        <f>J25*K$23</f>
        <v>3170.2670999999996</v>
      </c>
      <c r="L25" s="503">
        <f>J25*L$23</f>
        <v>2714.4116999999997</v>
      </c>
      <c r="M25" s="524">
        <f>SUM(J25:L25)</f>
        <v>47326.078799999988</v>
      </c>
    </row>
    <row r="26" spans="1:25" ht="15.75" thickBot="1" x14ac:dyDescent="0.3">
      <c r="B26" s="402" t="s">
        <v>546</v>
      </c>
      <c r="C26" s="494"/>
      <c r="D26" s="522">
        <f>$B$12*D21</f>
        <v>0.72</v>
      </c>
      <c r="E26" s="509">
        <f>(B12*2080+6660)*1.03</f>
        <v>58277.4</v>
      </c>
      <c r="F26" s="509">
        <f>E26*F$23</f>
        <v>4458.2210999999998</v>
      </c>
      <c r="G26" s="509">
        <f>E26*G$23</f>
        <v>3817.1697000000004</v>
      </c>
      <c r="H26" s="525">
        <f>SUM(E26:G26)</f>
        <v>66552.790800000002</v>
      </c>
      <c r="I26" s="522">
        <f>$B$12*I21</f>
        <v>0.84000000000000008</v>
      </c>
      <c r="J26" s="509">
        <f>(B12*2080+6660)*1.035</f>
        <v>58560.299999999996</v>
      </c>
      <c r="K26" s="509">
        <f>J26*K$23</f>
        <v>4479.8629499999997</v>
      </c>
      <c r="L26" s="509">
        <f>J26*L$23</f>
        <v>3835.69965</v>
      </c>
      <c r="M26" s="525">
        <f>SUM(J26:L26)</f>
        <v>66875.862599999993</v>
      </c>
    </row>
    <row r="27" spans="1:25" ht="15.75" thickBot="1" x14ac:dyDescent="0.3"/>
    <row r="28" spans="1:25" x14ac:dyDescent="0.25">
      <c r="B28" s="513"/>
      <c r="C28" s="513"/>
      <c r="D28" s="786">
        <v>0.04</v>
      </c>
      <c r="E28" s="786"/>
      <c r="F28" s="786"/>
      <c r="G28" s="786"/>
      <c r="H28" s="786"/>
    </row>
    <row r="29" spans="1:25" x14ac:dyDescent="0.25">
      <c r="B29" s="775"/>
      <c r="C29" s="775"/>
      <c r="D29" s="493" t="s">
        <v>538</v>
      </c>
      <c r="E29" s="494" t="s">
        <v>539</v>
      </c>
      <c r="F29" s="494" t="s">
        <v>540</v>
      </c>
      <c r="G29" s="495" t="s">
        <v>541</v>
      </c>
      <c r="H29" s="496"/>
    </row>
    <row r="30" spans="1:25" x14ac:dyDescent="0.25">
      <c r="B30" s="775"/>
      <c r="C30" s="775"/>
      <c r="D30" s="523"/>
      <c r="E30" s="416"/>
      <c r="F30" s="497">
        <v>7.6499999999999999E-2</v>
      </c>
      <c r="G30" s="497">
        <v>6.5500000000000003E-2</v>
      </c>
      <c r="H30" s="498" t="s">
        <v>339</v>
      </c>
    </row>
    <row r="31" spans="1:25" s="305" customFormat="1" x14ac:dyDescent="0.25">
      <c r="B31" s="402" t="s">
        <v>542</v>
      </c>
      <c r="C31" s="494"/>
      <c r="D31" s="505">
        <f>$B$10*D28/2080</f>
        <v>1.0769230769230769</v>
      </c>
      <c r="E31" s="503">
        <f>B10*1.04</f>
        <v>58240</v>
      </c>
      <c r="F31" s="503">
        <f>E31*F$23</f>
        <v>4455.3599999999997</v>
      </c>
      <c r="G31" s="503">
        <f>E31*G$23</f>
        <v>3814.7200000000003</v>
      </c>
      <c r="H31" s="524">
        <f>SUM(E31:G31)</f>
        <v>66510.080000000002</v>
      </c>
      <c r="I31" s="526"/>
    </row>
    <row r="32" spans="1:25" x14ac:dyDescent="0.25">
      <c r="B32" s="402" t="s">
        <v>544</v>
      </c>
      <c r="C32" s="494"/>
      <c r="D32" s="505">
        <f>$B$11*D28</f>
        <v>0.88</v>
      </c>
      <c r="E32" s="503">
        <f>B11*1820*1.04</f>
        <v>41641.599999999999</v>
      </c>
      <c r="F32" s="503">
        <f>E32*F$23</f>
        <v>3185.5823999999998</v>
      </c>
      <c r="G32" s="503">
        <f>E32*G$23</f>
        <v>2727.5248000000001</v>
      </c>
      <c r="H32" s="524">
        <f>SUM(E32:G32)</f>
        <v>47554.707199999997</v>
      </c>
    </row>
    <row r="33" spans="1:9" ht="15.75" thickBot="1" x14ac:dyDescent="0.3">
      <c r="B33" s="402" t="s">
        <v>546</v>
      </c>
      <c r="C33" s="494"/>
      <c r="D33" s="522">
        <f>$B$12*D28</f>
        <v>0.96</v>
      </c>
      <c r="E33" s="509">
        <f>(B12*2080+6660)*1.04</f>
        <v>58843.200000000004</v>
      </c>
      <c r="F33" s="509">
        <f>E33*F$23</f>
        <v>4501.5048000000006</v>
      </c>
      <c r="G33" s="509">
        <f>E33*G$23</f>
        <v>3854.2296000000006</v>
      </c>
      <c r="H33" s="525">
        <f>SUM(E33:G33)</f>
        <v>67198.934400000013</v>
      </c>
    </row>
    <row r="34" spans="1:9" x14ac:dyDescent="0.25">
      <c r="B34" s="527"/>
      <c r="C34" s="527"/>
      <c r="D34" s="527"/>
      <c r="E34" s="527"/>
      <c r="F34" s="528"/>
      <c r="G34" s="527"/>
      <c r="H34" s="527"/>
      <c r="I34" s="527"/>
    </row>
    <row r="35" spans="1:9" x14ac:dyDescent="0.25">
      <c r="A35" s="527"/>
      <c r="B35" s="527"/>
      <c r="C35" s="527"/>
      <c r="D35" s="527"/>
      <c r="E35" s="527"/>
      <c r="F35" s="528"/>
      <c r="G35" s="527"/>
      <c r="H35" s="527"/>
      <c r="I35" s="527"/>
    </row>
    <row r="36" spans="1:9" ht="15.75" thickBot="1" x14ac:dyDescent="0.3"/>
    <row r="37" spans="1:9" x14ac:dyDescent="0.25">
      <c r="B37" s="490"/>
      <c r="C37" s="491"/>
      <c r="D37" s="792"/>
      <c r="E37" s="792"/>
      <c r="F37" s="792"/>
      <c r="G37" s="792"/>
      <c r="H37" s="792"/>
    </row>
    <row r="38" spans="1:9" x14ac:dyDescent="0.25">
      <c r="B38" s="787">
        <v>2018</v>
      </c>
      <c r="C38" s="787"/>
      <c r="D38" s="493" t="s">
        <v>538</v>
      </c>
      <c r="E38" s="494" t="s">
        <v>539</v>
      </c>
      <c r="F38" s="494" t="s">
        <v>540</v>
      </c>
      <c r="G38" s="495" t="s">
        <v>541</v>
      </c>
      <c r="H38" s="496"/>
    </row>
    <row r="39" spans="1:9" s="305" customFormat="1" x14ac:dyDescent="0.25">
      <c r="A39" s="526"/>
      <c r="B39" s="787" t="s">
        <v>539</v>
      </c>
      <c r="C39" s="787"/>
      <c r="D39" s="493"/>
      <c r="E39" s="416"/>
      <c r="F39" s="497">
        <v>7.6499999999999999E-2</v>
      </c>
      <c r="G39" s="497">
        <v>6.5500000000000003E-2</v>
      </c>
      <c r="H39" s="498" t="s">
        <v>339</v>
      </c>
      <c r="I39" s="526"/>
    </row>
    <row r="40" spans="1:9" x14ac:dyDescent="0.25">
      <c r="B40" s="500">
        <v>56000</v>
      </c>
      <c r="C40" s="501" t="s">
        <v>543</v>
      </c>
      <c r="D40"/>
      <c r="E40" s="503">
        <v>57560</v>
      </c>
      <c r="F40" s="503">
        <f>E40*F39</f>
        <v>4403.34</v>
      </c>
      <c r="G40" s="503">
        <f>E40*G39</f>
        <v>3770.1800000000003</v>
      </c>
      <c r="H40" s="504">
        <f>SUM(E40:G40)</f>
        <v>65733.51999999999</v>
      </c>
    </row>
    <row r="41" spans="1:9" x14ac:dyDescent="0.25">
      <c r="B41" s="502">
        <v>22.75</v>
      </c>
      <c r="C41" s="501" t="s">
        <v>545</v>
      </c>
      <c r="D41"/>
      <c r="E41" s="503">
        <f>B41*1820</f>
        <v>41405</v>
      </c>
      <c r="F41" s="503">
        <f>E41*F39</f>
        <v>3167.4825000000001</v>
      </c>
      <c r="G41" s="503">
        <f>E41*G39</f>
        <v>2712.0275000000001</v>
      </c>
      <c r="H41" s="504">
        <f>SUM(E41:G41)</f>
        <v>47284.509999999995</v>
      </c>
    </row>
    <row r="42" spans="1:9" ht="15.75" thickBot="1" x14ac:dyDescent="0.3">
      <c r="B42" s="506">
        <v>24.75</v>
      </c>
      <c r="C42" s="507" t="s">
        <v>545</v>
      </c>
      <c r="D42"/>
      <c r="E42" s="509">
        <f>(B42*2080+6660)</f>
        <v>58140</v>
      </c>
      <c r="F42" s="509">
        <f>E42*F39</f>
        <v>4447.71</v>
      </c>
      <c r="G42" s="509">
        <f>E42*G39</f>
        <v>3808.17</v>
      </c>
      <c r="H42" s="510">
        <f>SUM(E42:G42)</f>
        <v>66395.88</v>
      </c>
    </row>
    <row r="46" spans="1:9" s="305" customFormat="1" x14ac:dyDescent="0.25">
      <c r="A46" s="526"/>
      <c r="B46" s="526"/>
      <c r="C46" s="526"/>
      <c r="D46" s="526"/>
      <c r="E46" s="526"/>
      <c r="F46" s="529"/>
      <c r="G46" s="526"/>
      <c r="H46" s="526"/>
      <c r="I46" s="526"/>
    </row>
    <row r="57" spans="1:9" x14ac:dyDescent="0.25">
      <c r="A57" s="530"/>
      <c r="B57" s="531"/>
      <c r="C57" s="531"/>
      <c r="D57" s="531"/>
      <c r="E57" s="531"/>
      <c r="F57" s="789">
        <v>2017</v>
      </c>
      <c r="G57" s="789"/>
    </row>
    <row r="58" spans="1:9" x14ac:dyDescent="0.25">
      <c r="A58" s="532" t="s">
        <v>547</v>
      </c>
      <c r="B58" s="533">
        <v>2014</v>
      </c>
      <c r="C58" s="533">
        <v>2015</v>
      </c>
      <c r="D58" s="533"/>
      <c r="E58" s="533">
        <v>2016</v>
      </c>
      <c r="F58" s="534" t="s">
        <v>548</v>
      </c>
      <c r="G58" s="535" t="s">
        <v>549</v>
      </c>
      <c r="H58" s="305"/>
      <c r="I58" s="305"/>
    </row>
    <row r="59" spans="1:9" x14ac:dyDescent="0.25">
      <c r="A59" s="312" t="s">
        <v>550</v>
      </c>
      <c r="B59" s="503">
        <v>51464</v>
      </c>
      <c r="C59" s="503">
        <v>54498</v>
      </c>
      <c r="D59" s="503"/>
      <c r="E59" s="503">
        <v>56694</v>
      </c>
      <c r="F59" s="503">
        <v>15679</v>
      </c>
      <c r="G59" s="503">
        <v>15679</v>
      </c>
    </row>
    <row r="60" spans="1:9" x14ac:dyDescent="0.25">
      <c r="A60" s="312" t="s">
        <v>551</v>
      </c>
      <c r="B60" s="503">
        <v>0</v>
      </c>
      <c r="C60" s="503">
        <v>0</v>
      </c>
      <c r="D60" s="503"/>
      <c r="E60" s="503">
        <v>9589</v>
      </c>
      <c r="F60" s="503">
        <v>33415</v>
      </c>
      <c r="G60" s="503">
        <v>50122</v>
      </c>
    </row>
    <row r="61" spans="1:9" x14ac:dyDescent="0.25">
      <c r="A61" s="312" t="s">
        <v>552</v>
      </c>
      <c r="B61" s="503">
        <f>SUM(B59:B60)</f>
        <v>51464</v>
      </c>
      <c r="C61" s="503">
        <f>SUM(C59:C60)</f>
        <v>54498</v>
      </c>
      <c r="D61" s="503"/>
      <c r="E61" s="503">
        <f>SUM(E59:E60)</f>
        <v>66283</v>
      </c>
      <c r="F61" s="503">
        <f>SUM(F59:F60)</f>
        <v>49094</v>
      </c>
      <c r="G61" s="503">
        <f>SUM(G59:G60)</f>
        <v>65801</v>
      </c>
    </row>
    <row r="62" spans="1:9" x14ac:dyDescent="0.25">
      <c r="A62" s="312" t="s">
        <v>553</v>
      </c>
      <c r="B62" s="503">
        <v>7959</v>
      </c>
      <c r="C62" s="503">
        <v>3717</v>
      </c>
      <c r="D62" s="503"/>
      <c r="E62" s="503">
        <v>5133</v>
      </c>
      <c r="F62" s="503">
        <v>1397</v>
      </c>
      <c r="G62" s="503">
        <v>2520</v>
      </c>
    </row>
    <row r="63" spans="1:9" x14ac:dyDescent="0.25">
      <c r="A63" s="536" t="s">
        <v>554</v>
      </c>
      <c r="B63" s="320">
        <f>SUM(B61:B62)</f>
        <v>59423</v>
      </c>
      <c r="C63" s="320">
        <f>SUM(C61:C62)</f>
        <v>58215</v>
      </c>
      <c r="D63" s="320"/>
      <c r="E63" s="320">
        <f>SUM(E61:E62)</f>
        <v>71416</v>
      </c>
      <c r="F63" s="320">
        <f>SUM(F61:F62)</f>
        <v>50491</v>
      </c>
      <c r="G63" s="320">
        <f>SUM(G61:G62)</f>
        <v>68321</v>
      </c>
    </row>
    <row r="65" spans="1:9" x14ac:dyDescent="0.25">
      <c r="A65" s="530"/>
      <c r="B65" s="530"/>
      <c r="C65" s="530"/>
      <c r="D65" s="530"/>
      <c r="E65" s="530"/>
      <c r="F65" s="790">
        <v>2017</v>
      </c>
      <c r="G65" s="790"/>
    </row>
    <row r="66" spans="1:9" x14ac:dyDescent="0.25">
      <c r="A66" s="537" t="s">
        <v>555</v>
      </c>
      <c r="B66" s="533">
        <v>2014</v>
      </c>
      <c r="C66" s="533">
        <v>2015</v>
      </c>
      <c r="D66" s="533"/>
      <c r="E66" s="533">
        <v>2016</v>
      </c>
      <c r="F66" s="538" t="s">
        <v>548</v>
      </c>
      <c r="G66" s="539" t="s">
        <v>549</v>
      </c>
      <c r="H66" s="305"/>
      <c r="I66" s="305"/>
    </row>
    <row r="67" spans="1:9" x14ac:dyDescent="0.25">
      <c r="A67" s="312" t="s">
        <v>556</v>
      </c>
      <c r="B67" s="503">
        <v>5030</v>
      </c>
      <c r="C67" s="503">
        <v>6022</v>
      </c>
      <c r="D67" s="503"/>
      <c r="E67" s="503">
        <v>6940</v>
      </c>
      <c r="F67" s="503">
        <v>2460.2399999999998</v>
      </c>
      <c r="G67" s="503">
        <f>F67</f>
        <v>2460.2399999999998</v>
      </c>
    </row>
    <row r="68" spans="1:9" x14ac:dyDescent="0.25">
      <c r="A68" s="312" t="s">
        <v>557</v>
      </c>
      <c r="B68" s="540"/>
      <c r="C68" s="540"/>
      <c r="D68" s="540"/>
      <c r="E68" s="503">
        <v>1590</v>
      </c>
      <c r="F68" s="503">
        <v>3150</v>
      </c>
      <c r="G68" s="503">
        <f>F68*2</f>
        <v>6300</v>
      </c>
      <c r="H68" s="306"/>
      <c r="I68" s="306"/>
    </row>
    <row r="69" spans="1:9" x14ac:dyDescent="0.25">
      <c r="A69" s="536" t="s">
        <v>339</v>
      </c>
      <c r="B69" s="541">
        <f>SUM(B67:B68)</f>
        <v>5030</v>
      </c>
      <c r="C69" s="541">
        <f>SUM(C67:C68)</f>
        <v>6022</v>
      </c>
      <c r="D69" s="541"/>
      <c r="E69" s="541">
        <f>SUM(E67:E68)</f>
        <v>8530</v>
      </c>
      <c r="F69" s="320">
        <f>SUM(F67:F68)</f>
        <v>5610.24</v>
      </c>
      <c r="G69" s="320">
        <f>SUM(G67:G68)</f>
        <v>8760.24</v>
      </c>
      <c r="H69" s="542"/>
      <c r="I69" s="542"/>
    </row>
    <row r="70" spans="1:9" x14ac:dyDescent="0.25">
      <c r="A70" s="543"/>
      <c r="B70" s="791" t="s">
        <v>558</v>
      </c>
      <c r="C70" s="791"/>
      <c r="D70" s="791"/>
      <c r="E70" s="791"/>
      <c r="F70" s="791"/>
      <c r="G70" s="791"/>
      <c r="H70" s="306"/>
      <c r="I70" s="306"/>
    </row>
    <row r="71" spans="1:9" x14ac:dyDescent="0.25">
      <c r="A71" s="411"/>
      <c r="B71" s="538"/>
      <c r="C71" s="538"/>
      <c r="D71" s="538"/>
      <c r="E71" s="538"/>
      <c r="F71" s="538"/>
      <c r="G71" s="538"/>
      <c r="H71" s="306"/>
      <c r="I71" s="306"/>
    </row>
    <row r="72" spans="1:9" x14ac:dyDescent="0.25">
      <c r="A72" s="544"/>
      <c r="B72" s="545"/>
      <c r="C72" s="545"/>
      <c r="D72" s="545"/>
      <c r="E72" s="545"/>
      <c r="F72" s="790">
        <v>2017</v>
      </c>
      <c r="G72" s="790"/>
    </row>
    <row r="73" spans="1:9" x14ac:dyDescent="0.25">
      <c r="A73" s="546" t="s">
        <v>559</v>
      </c>
      <c r="B73" s="547">
        <v>2014</v>
      </c>
      <c r="C73" s="547">
        <v>2015</v>
      </c>
      <c r="D73" s="547"/>
      <c r="E73" s="547">
        <v>2016</v>
      </c>
      <c r="F73" s="547" t="s">
        <v>548</v>
      </c>
      <c r="G73" s="539" t="s">
        <v>549</v>
      </c>
      <c r="H73" s="305"/>
      <c r="I73" s="305"/>
    </row>
    <row r="74" spans="1:9" x14ac:dyDescent="0.25">
      <c r="A74" s="312" t="s">
        <v>560</v>
      </c>
      <c r="B74" s="313">
        <v>318</v>
      </c>
      <c r="C74" s="313">
        <v>151</v>
      </c>
      <c r="D74" s="313"/>
      <c r="E74" s="313">
        <v>235</v>
      </c>
      <c r="F74" s="313">
        <v>60</v>
      </c>
      <c r="G74" s="313">
        <v>120</v>
      </c>
    </row>
    <row r="75" spans="1:9" x14ac:dyDescent="0.25">
      <c r="A75" s="312" t="s">
        <v>561</v>
      </c>
      <c r="B75" s="313">
        <v>39</v>
      </c>
      <c r="C75" s="313">
        <v>21</v>
      </c>
      <c r="D75" s="313"/>
      <c r="E75" s="313">
        <v>0</v>
      </c>
      <c r="F75" s="313">
        <v>0</v>
      </c>
      <c r="G75" s="313"/>
    </row>
    <row r="76" spans="1:9" x14ac:dyDescent="0.25">
      <c r="A76" s="312" t="s">
        <v>562</v>
      </c>
      <c r="B76" s="313">
        <v>0</v>
      </c>
      <c r="C76" s="313">
        <v>0</v>
      </c>
      <c r="D76" s="313"/>
      <c r="E76" s="313">
        <v>11</v>
      </c>
      <c r="F76" s="313">
        <v>0</v>
      </c>
      <c r="G76" s="313"/>
    </row>
    <row r="77" spans="1:9" x14ac:dyDescent="0.25">
      <c r="A77" s="312" t="s">
        <v>563</v>
      </c>
      <c r="B77" s="313">
        <v>22</v>
      </c>
      <c r="C77" s="313">
        <v>5</v>
      </c>
      <c r="D77" s="313"/>
      <c r="E77" s="313">
        <v>0</v>
      </c>
      <c r="F77" s="313">
        <v>6.5</v>
      </c>
      <c r="G77" s="313">
        <v>10</v>
      </c>
    </row>
    <row r="78" spans="1:9" x14ac:dyDescent="0.25">
      <c r="A78" s="548"/>
      <c r="B78" s="313">
        <f>SUM(B74:B77)</f>
        <v>379</v>
      </c>
      <c r="C78" s="313">
        <f>SUM(C74:C77)</f>
        <v>177</v>
      </c>
      <c r="D78" s="313"/>
      <c r="E78" s="313">
        <f>SUM(E74:E77)</f>
        <v>246</v>
      </c>
      <c r="F78" s="549"/>
      <c r="G78" s="550"/>
    </row>
    <row r="80" spans="1:9" x14ac:dyDescent="0.25">
      <c r="A80" s="402" t="s">
        <v>564</v>
      </c>
    </row>
    <row r="81" spans="1:1" x14ac:dyDescent="0.25">
      <c r="A81" s="402" t="s">
        <v>565</v>
      </c>
    </row>
  </sheetData>
  <mergeCells count="22">
    <mergeCell ref="F57:G57"/>
    <mergeCell ref="F65:G65"/>
    <mergeCell ref="B70:G70"/>
    <mergeCell ref="F72:G72"/>
    <mergeCell ref="D28:H28"/>
    <mergeCell ref="B29:C29"/>
    <mergeCell ref="B30:C30"/>
    <mergeCell ref="D37:H37"/>
    <mergeCell ref="B38:C38"/>
    <mergeCell ref="B39:C39"/>
    <mergeCell ref="B23:C23"/>
    <mergeCell ref="D7:H7"/>
    <mergeCell ref="I7:M7"/>
    <mergeCell ref="B8:C8"/>
    <mergeCell ref="B9:C9"/>
    <mergeCell ref="D14:H14"/>
    <mergeCell ref="I14:M14"/>
    <mergeCell ref="B15:C15"/>
    <mergeCell ref="B16:C16"/>
    <mergeCell ref="D21:H21"/>
    <mergeCell ref="I21:M21"/>
    <mergeCell ref="B22:C22"/>
  </mergeCells>
  <pageMargins left="0.25" right="0.25" top="1.1417000000000002" bottom="1.1835000000000002" header="0.30000000000000004" footer="0.78980000000000006"/>
  <pageSetup paperSize="0" fitToWidth="0" fitToHeight="0" orientation="portrait" horizontalDpi="0" verticalDpi="0" copies="0"/>
  <headerFooter alignWithMargins="0">
    <oddHeader>&amp;C&amp;K0000002018 Budget Worksheet - Personnel&amp;R&amp;9&amp;K000000Oct. 9, 2018</oddHeader>
  </headerFooter>
  <colBreaks count="1" manualBreakCount="1">
    <brk id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2"/>
  <sheetViews>
    <sheetView workbookViewId="0">
      <selection activeCell="K14" sqref="K14"/>
    </sheetView>
  </sheetViews>
  <sheetFormatPr defaultRowHeight="14.25" x14ac:dyDescent="0.2"/>
  <cols>
    <col min="1" max="1" width="3.375" customWidth="1"/>
    <col min="2" max="2" width="14.125" customWidth="1"/>
    <col min="3" max="3" width="21.25" customWidth="1"/>
    <col min="4" max="4" width="12.875" customWidth="1"/>
    <col min="5" max="5" width="11.125" style="474" customWidth="1"/>
    <col min="6" max="7" width="10.125" style="474" customWidth="1"/>
    <col min="8" max="11" width="9.125" style="474" customWidth="1"/>
    <col min="12" max="12" width="3" style="474" customWidth="1"/>
    <col min="13" max="13" width="9.125" style="474" customWidth="1"/>
    <col min="14" max="1024" width="8.75" customWidth="1"/>
  </cols>
  <sheetData>
    <row r="1" spans="1:15" x14ac:dyDescent="0.2">
      <c r="A1" t="s">
        <v>566</v>
      </c>
      <c r="C1" s="551" t="s">
        <v>567</v>
      </c>
      <c r="D1" s="552">
        <v>2010</v>
      </c>
      <c r="E1" s="553" t="s">
        <v>568</v>
      </c>
      <c r="F1" s="553">
        <v>2012</v>
      </c>
      <c r="G1" s="553" t="s">
        <v>569</v>
      </c>
      <c r="H1" s="553" t="s">
        <v>570</v>
      </c>
      <c r="I1" s="553" t="s">
        <v>571</v>
      </c>
      <c r="J1" s="553" t="s">
        <v>572</v>
      </c>
      <c r="K1" s="553" t="s">
        <v>573</v>
      </c>
      <c r="L1" s="554"/>
      <c r="M1" s="554"/>
      <c r="N1" s="555"/>
      <c r="O1" s="555"/>
    </row>
    <row r="2" spans="1:15" x14ac:dyDescent="0.2">
      <c r="B2" t="s">
        <v>574</v>
      </c>
      <c r="C2" t="s">
        <v>575</v>
      </c>
      <c r="D2" s="556">
        <v>196942</v>
      </c>
      <c r="E2" s="479">
        <v>197274</v>
      </c>
      <c r="F2" s="479">
        <v>64564</v>
      </c>
      <c r="G2" s="479">
        <v>64666</v>
      </c>
      <c r="H2" s="479">
        <v>43547</v>
      </c>
      <c r="I2" s="479">
        <v>43623</v>
      </c>
      <c r="J2" s="479">
        <v>43816</v>
      </c>
      <c r="K2" s="479">
        <v>59252</v>
      </c>
      <c r="L2" s="479" t="s">
        <v>576</v>
      </c>
    </row>
    <row r="3" spans="1:15" x14ac:dyDescent="0.2">
      <c r="C3" s="557" t="s">
        <v>577</v>
      </c>
      <c r="D3" s="558">
        <v>11974</v>
      </c>
      <c r="E3" s="559">
        <v>22000</v>
      </c>
      <c r="F3" s="559">
        <v>22046</v>
      </c>
      <c r="G3" s="559">
        <v>22080</v>
      </c>
      <c r="H3" s="559">
        <v>22111</v>
      </c>
      <c r="I3" s="559">
        <v>22149</v>
      </c>
      <c r="J3" s="559">
        <v>22248</v>
      </c>
      <c r="K3" s="559">
        <v>22432</v>
      </c>
      <c r="L3" s="479"/>
    </row>
    <row r="4" spans="1:15" x14ac:dyDescent="0.2">
      <c r="C4" t="s">
        <v>578</v>
      </c>
      <c r="D4" s="556">
        <v>5488</v>
      </c>
      <c r="E4" s="479">
        <v>5497</v>
      </c>
      <c r="F4" s="479">
        <v>9560</v>
      </c>
      <c r="G4" s="479">
        <v>9575</v>
      </c>
      <c r="H4" s="479">
        <v>9589</v>
      </c>
      <c r="I4" s="479">
        <v>9605</v>
      </c>
      <c r="J4" s="479">
        <v>9648</v>
      </c>
      <c r="K4" s="479">
        <v>9728</v>
      </c>
      <c r="L4" s="479"/>
    </row>
    <row r="5" spans="1:15" x14ac:dyDescent="0.2">
      <c r="C5" s="557" t="s">
        <v>579</v>
      </c>
      <c r="D5" s="558">
        <v>24161</v>
      </c>
      <c r="E5" s="559">
        <v>24207</v>
      </c>
      <c r="F5" s="559">
        <v>225251</v>
      </c>
      <c r="G5" s="559">
        <v>226140</v>
      </c>
      <c r="H5" s="559">
        <v>226881</v>
      </c>
      <c r="I5" s="559">
        <v>227633</v>
      </c>
      <c r="J5" s="559">
        <v>228456</v>
      </c>
      <c r="K5" s="559">
        <v>229188</v>
      </c>
      <c r="L5" s="479"/>
    </row>
    <row r="6" spans="1:15" x14ac:dyDescent="0.2">
      <c r="C6" t="s">
        <v>580</v>
      </c>
      <c r="D6" s="556"/>
      <c r="E6" s="479">
        <v>200000</v>
      </c>
      <c r="F6" s="479">
        <v>200000</v>
      </c>
      <c r="G6" s="479">
        <v>200000</v>
      </c>
      <c r="H6" s="479">
        <v>210299</v>
      </c>
      <c r="I6" s="479">
        <v>210299</v>
      </c>
      <c r="J6" s="479">
        <v>210299</v>
      </c>
      <c r="K6" s="479">
        <v>17194</v>
      </c>
      <c r="L6" s="479"/>
    </row>
    <row r="7" spans="1:15" x14ac:dyDescent="0.2">
      <c r="C7" s="557" t="s">
        <v>581</v>
      </c>
      <c r="D7" s="558">
        <v>78242</v>
      </c>
      <c r="E7" s="559">
        <v>78242</v>
      </c>
      <c r="F7" s="559">
        <v>78269</v>
      </c>
      <c r="G7" s="559">
        <v>78269</v>
      </c>
      <c r="H7" s="559">
        <v>78285</v>
      </c>
      <c r="I7" s="559">
        <v>3304</v>
      </c>
      <c r="J7" s="559">
        <v>3318</v>
      </c>
      <c r="K7" s="559">
        <v>3346</v>
      </c>
      <c r="L7" s="479"/>
    </row>
    <row r="8" spans="1:15" x14ac:dyDescent="0.2">
      <c r="C8" t="s">
        <v>582</v>
      </c>
      <c r="D8" s="556">
        <v>24434</v>
      </c>
      <c r="E8" s="479">
        <v>24481</v>
      </c>
      <c r="F8" s="479">
        <v>24532</v>
      </c>
      <c r="G8" s="479">
        <v>3293</v>
      </c>
      <c r="H8" s="479">
        <v>3298</v>
      </c>
      <c r="I8" s="479">
        <v>6281</v>
      </c>
      <c r="J8" s="479">
        <v>6309</v>
      </c>
      <c r="K8" s="479">
        <v>4294</v>
      </c>
      <c r="L8" s="479"/>
    </row>
    <row r="9" spans="1:15" x14ac:dyDescent="0.2">
      <c r="C9" s="557" t="s">
        <v>583</v>
      </c>
      <c r="D9" s="558">
        <v>1970</v>
      </c>
      <c r="E9" s="559">
        <v>1974</v>
      </c>
      <c r="F9" s="559">
        <v>1978</v>
      </c>
      <c r="G9" s="793">
        <v>11312</v>
      </c>
      <c r="H9" s="793">
        <v>6270</v>
      </c>
      <c r="I9" s="793">
        <v>2019</v>
      </c>
      <c r="J9" s="793">
        <v>2027</v>
      </c>
      <c r="K9" s="793">
        <v>2043</v>
      </c>
      <c r="L9" s="479"/>
    </row>
    <row r="10" spans="1:15" x14ac:dyDescent="0.2">
      <c r="C10" t="s">
        <v>584</v>
      </c>
      <c r="D10" s="556">
        <v>5510</v>
      </c>
      <c r="E10" s="479">
        <v>5522</v>
      </c>
      <c r="F10" s="479">
        <v>5533</v>
      </c>
      <c r="G10" s="793"/>
      <c r="H10" s="793"/>
      <c r="I10" s="793"/>
      <c r="J10" s="793"/>
      <c r="K10" s="793"/>
      <c r="L10" s="479"/>
    </row>
    <row r="11" spans="1:15" x14ac:dyDescent="0.2">
      <c r="C11" s="557" t="s">
        <v>585</v>
      </c>
      <c r="D11" s="558">
        <v>1704</v>
      </c>
      <c r="E11" s="559">
        <v>3775</v>
      </c>
      <c r="F11" s="559">
        <v>3783</v>
      </c>
      <c r="G11" s="793"/>
      <c r="H11" s="793"/>
      <c r="I11" s="793"/>
      <c r="J11" s="793"/>
      <c r="K11" s="793"/>
      <c r="L11" s="479"/>
    </row>
    <row r="12" spans="1:15" x14ac:dyDescent="0.2">
      <c r="C12" t="s">
        <v>586</v>
      </c>
      <c r="D12" s="556"/>
      <c r="E12" s="479"/>
      <c r="F12" s="479"/>
      <c r="G12" s="479">
        <v>2940</v>
      </c>
      <c r="H12" s="479">
        <v>2017</v>
      </c>
      <c r="I12" s="479">
        <v>68652</v>
      </c>
      <c r="J12" s="479">
        <v>76073</v>
      </c>
      <c r="K12" s="479">
        <v>73965</v>
      </c>
      <c r="L12" s="479"/>
    </row>
    <row r="13" spans="1:15" x14ac:dyDescent="0.2">
      <c r="C13" s="557" t="s">
        <v>587</v>
      </c>
      <c r="D13" s="558">
        <v>861378</v>
      </c>
      <c r="E13" s="559">
        <v>484519</v>
      </c>
      <c r="F13" s="559">
        <v>221539</v>
      </c>
      <c r="G13" s="559">
        <v>242981</v>
      </c>
      <c r="H13" s="559">
        <v>217558</v>
      </c>
      <c r="I13" s="559">
        <v>370314</v>
      </c>
      <c r="J13" s="559">
        <v>410309</v>
      </c>
      <c r="K13" s="559">
        <v>696910</v>
      </c>
      <c r="L13" s="560"/>
    </row>
    <row r="14" spans="1:15" x14ac:dyDescent="0.2">
      <c r="D14" s="556">
        <f t="shared" ref="D14:K14" si="0">SUM(D2:D13)</f>
        <v>1211803</v>
      </c>
      <c r="E14" s="479">
        <f t="shared" si="0"/>
        <v>1047491</v>
      </c>
      <c r="F14" s="556">
        <f t="shared" si="0"/>
        <v>857055</v>
      </c>
      <c r="G14" s="479">
        <f t="shared" si="0"/>
        <v>861256</v>
      </c>
      <c r="H14" s="556">
        <f t="shared" si="0"/>
        <v>819855</v>
      </c>
      <c r="I14" s="479">
        <f t="shared" si="0"/>
        <v>963879</v>
      </c>
      <c r="J14" s="556">
        <f t="shared" si="0"/>
        <v>1012503</v>
      </c>
      <c r="K14" s="479">
        <f t="shared" si="0"/>
        <v>1118352</v>
      </c>
      <c r="L14" s="479"/>
    </row>
    <row r="15" spans="1:15" x14ac:dyDescent="0.2">
      <c r="G15" s="479"/>
      <c r="H15" s="479"/>
      <c r="I15" s="479"/>
      <c r="J15" s="479"/>
      <c r="K15" s="479"/>
    </row>
    <row r="16" spans="1:15" x14ac:dyDescent="0.2">
      <c r="A16" t="s">
        <v>588</v>
      </c>
    </row>
    <row r="17" spans="1:11" x14ac:dyDescent="0.2">
      <c r="C17" t="s">
        <v>589</v>
      </c>
      <c r="J17" s="479">
        <v>366094</v>
      </c>
      <c r="K17" s="479">
        <v>283632</v>
      </c>
    </row>
    <row r="18" spans="1:11" x14ac:dyDescent="0.2">
      <c r="C18" t="s">
        <v>586</v>
      </c>
      <c r="J18" s="479">
        <v>70189</v>
      </c>
      <c r="K18" s="479">
        <v>77264</v>
      </c>
    </row>
    <row r="19" spans="1:11" x14ac:dyDescent="0.2">
      <c r="C19" t="s">
        <v>590</v>
      </c>
      <c r="J19" s="479">
        <v>2706</v>
      </c>
      <c r="K19" s="479">
        <v>26616</v>
      </c>
    </row>
    <row r="22" spans="1:11" x14ac:dyDescent="0.2">
      <c r="A22" t="s">
        <v>576</v>
      </c>
      <c r="B22" t="s">
        <v>591</v>
      </c>
    </row>
  </sheetData>
  <mergeCells count="5">
    <mergeCell ref="G9:G11"/>
    <mergeCell ref="H9:H11"/>
    <mergeCell ref="I9:I11"/>
    <mergeCell ref="J9:J11"/>
    <mergeCell ref="K9:K11"/>
  </mergeCells>
  <pageMargins left="0.25" right="0.25" top="1.0472000000000001" bottom="1.1437000000000002" header="0.30000000000000004" footer="0.75000000000000011"/>
  <pageSetup paperSize="0" fitToWidth="0" fitToHeight="0" orientation="landscape" horizontalDpi="0" verticalDpi="0" copies="0"/>
  <headerFooter alignWithMargins="0">
    <oddHeader>&amp;C&amp;K000000FUND BALANCES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GF</vt:lpstr>
      <vt:lpstr>Sup. sheets</vt:lpstr>
      <vt:lpstr>Acct. Detail--Rev.</vt:lpstr>
      <vt:lpstr>Acct. Detail--Exp.</vt:lpstr>
      <vt:lpstr>Parks</vt:lpstr>
      <vt:lpstr>Kingsley</vt:lpstr>
      <vt:lpstr>Publication</vt:lpstr>
      <vt:lpstr>Personnel</vt:lpstr>
      <vt:lpstr>Fund Balances</vt:lpstr>
      <vt:lpstr>Levys</vt:lpstr>
      <vt:lpstr>Ins. Co.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Dianah</dc:creator>
  <cp:lastModifiedBy>jacro</cp:lastModifiedBy>
  <cp:revision>5</cp:revision>
  <cp:lastPrinted>2019-11-08T17:04:11Z</cp:lastPrinted>
  <dcterms:created xsi:type="dcterms:W3CDTF">2018-10-16T02:54:42Z</dcterms:created>
  <dcterms:modified xsi:type="dcterms:W3CDTF">2019-11-08T17:04:14Z</dcterms:modified>
</cp:coreProperties>
</file>